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7" lowestEdited="5" rupBuild="30026"/>
  <workbookPr defaultThemeVersion="153222"/>
  <bookViews>
    <workbookView xWindow="-108" yWindow="-108" windowWidth="30936" windowHeight="16776" activeTab="0"/>
  </bookViews>
  <sheets>
    <sheet name="汇总版" sheetId="1" r:id="rId1"/>
  </sheets>
  <calcPr calcId="191029"/>
</workbook>
</file>

<file path=xl/sharedStrings.xml><?xml version="1.0" encoding="utf-8"?>
<sst xmlns="http://schemas.openxmlformats.org/spreadsheetml/2006/main" uniqueCount="1094" count="1094">
  <si>
    <t>子行业</t>
  </si>
  <si>
    <t>公司简称</t>
  </si>
  <si>
    <t>收入同比增速
 （%）</t>
  </si>
  <si>
    <t>√</t>
  </si>
  <si>
    <t>扭亏为盈</t>
  </si>
  <si>
    <t>一句话推荐逻辑</t>
  </si>
  <si>
    <t>n.a</t>
  </si>
  <si>
    <t>归母净利润同比
增速（%）</t>
  </si>
  <si>
    <t>归母净利润同比
增速（%）</t>
  </si>
  <si>
    <t>乘用车</t>
  </si>
  <si>
    <t>比亚迪</t>
  </si>
  <si>
    <t>吉利汽车</t>
  </si>
  <si>
    <t>理想汽车</t>
  </si>
  <si>
    <t>零跑汽车</t>
  </si>
  <si>
    <t>伯特利</t>
  </si>
  <si>
    <t>无锡振华</t>
  </si>
  <si>
    <t>岱美股份</t>
  </si>
  <si>
    <t>寒武纪</t>
  </si>
  <si>
    <t>海光信息</t>
  </si>
  <si>
    <t>归母净利润预测
 （百万元，人民币）</t>
  </si>
  <si>
    <t>/</t>
  </si>
  <si>
    <t>中国海油</t>
  </si>
  <si>
    <t>华峰化学</t>
  </si>
  <si>
    <t>炼化</t>
  </si>
  <si>
    <t>荣盛石化</t>
  </si>
  <si>
    <t>归母净利润预测
 （亿元，人民币）</t>
  </si>
  <si>
    <t>国产芯片</t>
  </si>
  <si>
    <t>国产大模型与芯片加速迭代，公司作为芯片龙头持续受益</t>
  </si>
  <si>
    <t>光模块</t>
  </si>
  <si>
    <t>中际旭创</t>
  </si>
  <si>
    <t>新易盛</t>
  </si>
  <si>
    <t>天孚通信</t>
  </si>
  <si>
    <t>源杰科技</t>
  </si>
  <si>
    <t>计算机</t>
  </si>
  <si>
    <t>收入同比增速
（%）</t>
  </si>
  <si>
    <t>归母净利润同比
    增速（%）</t>
  </si>
  <si>
    <t>AI</t>
  </si>
  <si>
    <t>海康威视</t>
  </si>
  <si>
    <t>科大讯飞</t>
  </si>
  <si>
    <t>大华股份</t>
  </si>
  <si>
    <t>拓尔思</t>
  </si>
  <si>
    <t>智能汽车</t>
  </si>
  <si>
    <t>德赛西威</t>
  </si>
  <si>
    <t>经纬恒润</t>
  </si>
  <si>
    <t>中科创达</t>
  </si>
  <si>
    <t>信创</t>
  </si>
  <si>
    <t>达梦数据</t>
  </si>
  <si>
    <t>中科曙光</t>
  </si>
  <si>
    <t>中国软件</t>
  </si>
  <si>
    <t>太极股份</t>
  </si>
  <si>
    <t>神州数码</t>
  </si>
  <si>
    <t>医疗IT</t>
  </si>
  <si>
    <t>卫宁健康</t>
  </si>
  <si>
    <t>创业慧康</t>
  </si>
  <si>
    <t>润达医疗</t>
  </si>
  <si>
    <t>云计算</t>
  </si>
  <si>
    <t>金山办公</t>
  </si>
  <si>
    <t>广联达</t>
  </si>
  <si>
    <t>用友网络</t>
  </si>
  <si>
    <t>石基信息</t>
  </si>
  <si>
    <t>浪潮信息</t>
  </si>
  <si>
    <t>万兴科技</t>
  </si>
  <si>
    <t>出海</t>
  </si>
  <si>
    <t>玻纤</t>
  </si>
  <si>
    <t>铜箔</t>
  </si>
  <si>
    <t>玻璃</t>
  </si>
  <si>
    <t>消费建材</t>
  </si>
  <si>
    <t>基建</t>
  </si>
  <si>
    <t>建材新材料</t>
  </si>
  <si>
    <t>通信</t>
  </si>
  <si>
    <t>收入预测
 （亿元，人民币）</t>
  </si>
  <si>
    <t>2Q26业绩是否超市场预期</t>
  </si>
  <si>
    <t>2Q26</t>
  </si>
  <si>
    <t>800G高景气延续、1.6T率先放量，硅光与高端产品结构升级驱动利润弹性释放</t>
  </si>
  <si>
    <t>下游AI大客户需求持续旺盛，800G主力产品放量叠加1.6T交付改善推动业绩增长</t>
  </si>
  <si>
    <t>光引擎及高速光器件需求稳步释放，CPO/1.6T产业趋势继续支撑中长期成长</t>
  </si>
  <si>
    <t>数据中心CW光源加速放量，公司作为光芯片核心标的迎来业绩高弹性释放</t>
  </si>
  <si>
    <t>太辰光</t>
  </si>
  <si>
    <t>高密度光连接器需求恢复增长，受益北美AI数据中心与CPO/OIO光互联升级趋势</t>
  </si>
  <si>
    <t>亨通光电</t>
  </si>
  <si>
    <t>光通信与能源互联业务共振增长，海缆、光纤光缆及海外需求释放推动业绩提速</t>
  </si>
  <si>
    <t>收入预测
（百万元，人民币）</t>
  </si>
  <si>
    <t>归母净利润预测
（百万元，人民币）</t>
  </si>
  <si>
    <t>国产算力</t>
  </si>
  <si>
    <t>算力租赁</t>
  </si>
  <si>
    <t>协创数据</t>
  </si>
  <si>
    <t>利通电子</t>
  </si>
  <si>
    <t>机械</t>
  </si>
  <si>
    <t>收入预测
 （亿元，人民币）</t>
  </si>
  <si>
    <t>归母净利润预测
 （亿元，人民币）</t>
  </si>
  <si>
    <t>2Q26业绩是否超市场预期</t>
  </si>
  <si>
    <t>2Q26</t>
  </si>
  <si>
    <t>燃气轮机</t>
  </si>
  <si>
    <t>应流股份</t>
  </si>
  <si>
    <t>燃气轮机需求上行，叶片需求爆发，看好公司叶片全球份额提升</t>
  </si>
  <si>
    <t>杰瑞股份</t>
  </si>
  <si>
    <t>出口北美的国产燃机总成龙头，26 年新签燃机订单上修至 15-20 亿美元</t>
  </si>
  <si>
    <t>西子洁能</t>
  </si>
  <si>
    <t>燃机余热锅炉需求上行，看好26年北美余热锅炉订单加速落地</t>
  </si>
  <si>
    <t>船舶</t>
  </si>
  <si>
    <t>中国船舶</t>
  </si>
  <si>
    <t>造船周期上行，高价船陆续交付，公司盈利能力持续提升</t>
  </si>
  <si>
    <t>中国动力</t>
  </si>
  <si>
    <t>柴油动力量价齐升，燃气轮机出海</t>
  </si>
  <si>
    <t>海工</t>
  </si>
  <si>
    <t>中集集团</t>
  </si>
  <si>
    <t>海工景气度上行，海工制造、海工租赁业绩高增</t>
  </si>
  <si>
    <t>振华重工</t>
  </si>
  <si>
    <t>海工租赁日费率提升，海工业绩持续改善</t>
  </si>
  <si>
    <t>轨交</t>
  </si>
  <si>
    <t>中国中车</t>
  </si>
  <si>
    <t>铁路装备需求持续上行，公司业绩长期稳健提升</t>
  </si>
  <si>
    <t>工程机械</t>
  </si>
  <si>
    <t>三一重工</t>
  </si>
  <si>
    <t>工程机械龙头，海外高增长</t>
  </si>
  <si>
    <t>徐工机械</t>
  </si>
  <si>
    <t>矿山机械国产龙头，内外销高增长</t>
  </si>
  <si>
    <t>中联重科</t>
  </si>
  <si>
    <t>内销贡献正增量，海外市场高增长</t>
  </si>
  <si>
    <t>柳工</t>
  </si>
  <si>
    <t>26 年轻装出发，内外销共振</t>
  </si>
  <si>
    <t>光模块设备</t>
  </si>
  <si>
    <t>联讯仪器</t>
  </si>
  <si>
    <t>光模块测试仪器龙头，光+存储共舞</t>
  </si>
  <si>
    <t>博众精工</t>
  </si>
  <si>
    <t>光模块设备翘楚，业绩快速增长</t>
  </si>
  <si>
    <t>刀具</t>
  </si>
  <si>
    <t>华锐精密</t>
  </si>
  <si>
    <t>数控刀具龙头，受益钨涨价弹性较强</t>
  </si>
  <si>
    <t>欧科亿</t>
  </si>
  <si>
    <t>数控刀具龙头，受益钨涨价弹性较强，加大PCB微钻布局</t>
  </si>
  <si>
    <t>机床</t>
  </si>
  <si>
    <t>纽威数控</t>
  </si>
  <si>
    <t>机床龙头，受益顺周期复苏+新兴产业爆发</t>
  </si>
  <si>
    <t>海天精工</t>
  </si>
  <si>
    <t>机床龙头，受益顺周期复苏+新兴产业爆发</t>
  </si>
  <si>
    <t>矿山机械</t>
  </si>
  <si>
    <t>耐普矿机</t>
  </si>
  <si>
    <t>矿山机械耗材龙头，行业高景气+新产品放量前景广阔</t>
  </si>
  <si>
    <t>机器人</t>
  </si>
  <si>
    <t>杰克科技</t>
  </si>
  <si>
    <t>恒立液压</t>
  </si>
  <si>
    <t>高端液压件龙头份额不断提升，人形机器人卡位核心环节</t>
  </si>
  <si>
    <t>叉车</t>
  </si>
  <si>
    <t>杭叉集团</t>
  </si>
  <si>
    <t>叉车国际化推进，布局具身机器人</t>
  </si>
  <si>
    <t>安徽合力</t>
  </si>
  <si>
    <t>农机</t>
  </si>
  <si>
    <t>一拖股份</t>
  </si>
  <si>
    <t>农机出海，内需回升</t>
  </si>
  <si>
    <t>X射线检测</t>
  </si>
  <si>
    <t>日联科技</t>
  </si>
  <si>
    <t>光模块检测设备+PCB背钻检测设备</t>
  </si>
  <si>
    <t>电子大宗气</t>
  </si>
  <si>
    <t>广钢气体</t>
  </si>
  <si>
    <t>两存扩产核心标的，今年大规模中标</t>
  </si>
  <si>
    <t>超声检测</t>
  </si>
  <si>
    <t>骄成超声</t>
  </si>
  <si>
    <t>半导体超扫受益存储扩产</t>
  </si>
  <si>
    <t>汽车</t>
  </si>
  <si>
    <t>收入预测
 （百万元，人民币）</t>
  </si>
  <si>
    <t>归母净利润预测
 （百万元，人民币）</t>
  </si>
  <si>
    <t>科达制造</t>
  </si>
  <si>
    <t>中国巨石</t>
  </si>
  <si>
    <t>国际复材</t>
  </si>
  <si>
    <t>中材科技</t>
  </si>
  <si>
    <t>宏和科技</t>
  </si>
  <si>
    <t>铜冠铜箔</t>
  </si>
  <si>
    <t>耀皮玻璃</t>
  </si>
  <si>
    <t>旗滨集团</t>
  </si>
  <si>
    <t>三棵树</t>
  </si>
  <si>
    <t>兔宝宝</t>
  </si>
  <si>
    <t>悍高集团</t>
  </si>
  <si>
    <t>东方雨虹</t>
  </si>
  <si>
    <t>科顺股份</t>
  </si>
  <si>
    <t>青龙管业</t>
  </si>
  <si>
    <t>其他新材料</t>
  </si>
  <si>
    <t>石英股份</t>
  </si>
  <si>
    <t>麦加芯彩</t>
  </si>
  <si>
    <t>全新换代车型带动销量和盈利全面反转，全面迈向具身智能</t>
  </si>
  <si>
    <t>出口&amp;高端车型贡献极大利润弹性，全动力车型谱系布局</t>
  </si>
  <si>
    <t>Q2开启强势产品周期，L03上市在即；从智驾领先的主机厂向物理AI公司迈进</t>
  </si>
  <si>
    <t>强势新车周期带动销量持续高增，出口增长提速</t>
  </si>
  <si>
    <t>出口有望延续高增、贡献极大利润弹性，闪充车型带动内销量利底部向上</t>
  </si>
  <si>
    <t>差异化品类布局带动出口增长提速，中高端新车大年</t>
  </si>
  <si>
    <t>汽零</t>
  </si>
  <si>
    <t>EMB率先量产，收购豫北加速全线控底盘布局</t>
  </si>
  <si>
    <t>铝压铸中小件隐形冠军，出海及新业务加速拓展</t>
  </si>
  <si>
    <t>海外子公司格拉默业绩持续改善，座椅进入业绩兑现期</t>
  </si>
  <si>
    <t>主业从遮阳板头枕向大内饰布局，开拓机器人第二成长曲线</t>
  </si>
  <si>
    <t>冲压件老牌零部件公司，开拓功率半导体电镀第二成长曲线</t>
  </si>
  <si>
    <t>商用车</t>
  </si>
  <si>
    <t>商用车出海领军企业，重卡高增+轻卡轻客出口高增&amp;区域及燃料结构升级</t>
  </si>
  <si>
    <t>重卡出口Q2环比显著增长，探索车用发动机转型发电应用</t>
  </si>
  <si>
    <t>重卡龙头，出口高增驱动业绩增长</t>
  </si>
  <si>
    <t>AIDC柴发备电、燃气主电龙头，持续受益于北美缺电</t>
  </si>
  <si>
    <t>小鹏汽车</t>
  </si>
  <si>
    <t>长城汽车</t>
  </si>
  <si>
    <t>爱柯迪</t>
  </si>
  <si>
    <t>继峰股份</t>
  </si>
  <si>
    <t>福田汽车</t>
  </si>
  <si>
    <t>一汽解放</t>
  </si>
  <si>
    <t>中国重汽A</t>
  </si>
  <si>
    <t>潍柴动力</t>
  </si>
  <si>
    <t>收入预测
 （百万元，人民币）</t>
  </si>
  <si>
    <t>-1202</t>
  </si>
  <si>
    <t>公用事业</t>
  </si>
  <si>
    <t>火电</t>
  </si>
  <si>
    <t>华能国际</t>
  </si>
  <si>
    <t>25.0~30.0</t>
  </si>
  <si>
    <t>-42%~-30%</t>
  </si>
  <si>
    <t>全国性火电龙头，受益电量电价传导改善、容量电价提升和市场化交易增收，盈利稳定性增强推动公用事业化重估。</t>
  </si>
  <si>
    <t>华电国际</t>
  </si>
  <si>
    <t>12.0~15.0</t>
  </si>
  <si>
    <t>-37%~-22%</t>
  </si>
  <si>
    <t>常规能源核心平台，气电及煤电容量收益贡献较高，容量电价稳定长期收益，分红提升支撑价值重估。</t>
  </si>
  <si>
    <t>申能股份</t>
  </si>
  <si>
    <t>8.3~8.8</t>
  </si>
  <si>
    <t>-22%~-17%</t>
  </si>
  <si>
    <t>上海负荷中心综合能源平台，火电红利属性突出，气电、新能源和投资收益共同支撑稳健分红。</t>
  </si>
  <si>
    <t>皖能电力</t>
  </si>
  <si>
    <t>4.0~4.5</t>
  </si>
  <si>
    <t>-37%~-29%</t>
  </si>
  <si>
    <t>安徽省级能源平台，火电基本盘稳固、新能源提速扩张，明确分红规划增强中长期股东回报确定性。</t>
  </si>
  <si>
    <t>浙能电力</t>
  </si>
  <si>
    <t>14.0~17.0</t>
  </si>
  <si>
    <t>-43%~-30%</t>
  </si>
  <si>
    <t>浙江负荷中心火电龙头，机组区位价值高，参股核电贡献稳定收益，分红能力具备持续提升空间。</t>
  </si>
  <si>
    <t>水电</t>
  </si>
  <si>
    <t>长江电力</t>
  </si>
  <si>
    <t>85.0~90.0</t>
  </si>
  <si>
    <t>8%~14%</t>
  </si>
  <si>
    <t>全球大水电龙头，综合电价和现金流稳健，2026-2030 年高分红规划强化红利资产配置价值。</t>
  </si>
  <si>
    <t>国投电力</t>
  </si>
  <si>
    <t>14.5~15.0</t>
  </si>
  <si>
    <t>-16%~-13%</t>
  </si>
  <si>
    <t>雅砻江水电贡献核心利润，水风光一体化基地打开成长空间，兼具优质水电现金流和新能源扩张弹性。</t>
  </si>
  <si>
    <t>华能水电</t>
  </si>
  <si>
    <t>30.0~32.0</t>
  </si>
  <si>
    <t>-3%~3%</t>
  </si>
  <si>
    <t>澜沧江流域水电平台，流域梯级调度能力强，分红稳定增长，具备长期水电红利配置价值。</t>
  </si>
  <si>
    <t>川投能源</t>
  </si>
  <si>
    <t>6.0~6.5</t>
  </si>
  <si>
    <t>-39%~-34%</t>
  </si>
  <si>
    <t>核心看雅砻江水电投资收益释放，来水改善及流域水风光一体化开发带来长期成长空间。</t>
  </si>
  <si>
    <t>绿电</t>
  </si>
  <si>
    <t>龙源电力</t>
  </si>
  <si>
    <t>11.0~13.0</t>
  </si>
  <si>
    <t>-25%~-12%</t>
  </si>
  <si>
    <t>风电龙头聚焦新能源主业，装机扩张、绿电绿证交易和补贴回款改善共同支撑现金流修复。</t>
  </si>
  <si>
    <t>核电</t>
  </si>
  <si>
    <t>中国核电</t>
  </si>
  <si>
    <t>16.0~18.0</t>
  </si>
  <si>
    <t>核电主业发电量增长和新机组投运支撑业绩，新能源短期承压但核电资产稳定性和分红能力突出。</t>
  </si>
  <si>
    <t>中国广核</t>
  </si>
  <si>
    <t>31.0~32.0</t>
  </si>
  <si>
    <t>6%~9%</t>
  </si>
  <si>
    <t>核电运营龙头，电价机制逐步稳定盈利预期，新机组投产和高分红属性支撑防御配置价值。</t>
  </si>
  <si>
    <t>石油</t>
  </si>
  <si>
    <t>受益于美伊冲突及海峡封锁带来的油价上行</t>
  </si>
  <si>
    <t>油服</t>
  </si>
  <si>
    <t>中海油服</t>
  </si>
  <si>
    <t>海上钻井行业景气度持续上行</t>
  </si>
  <si>
    <t>受冲突影响PTA、PX价差扩大，海外成品油利润突增</t>
  </si>
  <si>
    <t>化纤</t>
  </si>
  <si>
    <t>行业供给出清，产品价格提升</t>
  </si>
  <si>
    <t>石油石化</t>
  </si>
  <si>
    <t>电新</t>
  </si>
  <si>
    <t>光伏</t>
  </si>
  <si>
    <t>钧达股份</t>
  </si>
  <si>
    <t>2500~2550</t>
  </si>
  <si>
    <t>10000~10050</t>
  </si>
  <si>
    <t>-30~20</t>
  </si>
  <si>
    <t>350~400</t>
  </si>
  <si>
    <t>同比减亏</t>
  </si>
  <si>
    <t>同比扭亏</t>
  </si>
  <si>
    <t>独立电池片供应龙头，太空光伏引领者</t>
  </si>
  <si>
    <t>爱旭股份</t>
  </si>
  <si>
    <t>5050~5100</t>
  </si>
  <si>
    <t>20350~20400</t>
  </si>
  <si>
    <t>-200~-250</t>
  </si>
  <si>
    <t>500~550</t>
  </si>
  <si>
    <t>同比亏损</t>
  </si>
  <si>
    <t>BC路线唯二量产企业，有望率先走出周期底部</t>
  </si>
  <si>
    <t>迈为股份</t>
  </si>
  <si>
    <t>1450~1500</t>
  </si>
  <si>
    <t>9000~9050</t>
  </si>
  <si>
    <t>90~140</t>
  </si>
  <si>
    <t>700~750</t>
  </si>
  <si>
    <t>GW级方案引领HJT产业化加速，半导体、显示领域再获突破。</t>
  </si>
  <si>
    <t>福斯特</t>
  </si>
  <si>
    <t>130~170</t>
  </si>
  <si>
    <t>500~700</t>
  </si>
  <si>
    <t>光伏胶膜龙头，成本优势显著，电子材料逐步放量</t>
  </si>
  <si>
    <t>横店东磁</t>
  </si>
  <si>
    <t>-1300~-1000</t>
  </si>
  <si>
    <t>-3500~-2000</t>
  </si>
  <si>
    <t>磁材+新能源双轮驱动，差异化战略保障光伏盈利领先</t>
  </si>
  <si>
    <t>隆基绿能</t>
  </si>
  <si>
    <t>-2000~-1300</t>
  </si>
  <si>
    <t>-5000~-3000</t>
  </si>
  <si>
    <t>硅片、一体化龙头，BC出货量逐季提升，有望率先走出底部</t>
  </si>
  <si>
    <t>天合光能</t>
  </si>
  <si>
    <t>0~300</t>
  </si>
  <si>
    <t>-1000~500</t>
  </si>
  <si>
    <t>一体化龙头，储能快速放量，分布式、支架等多业务协同发展</t>
  </si>
  <si>
    <t>晶科能源</t>
  </si>
  <si>
    <t>-3000~-2000</t>
  </si>
  <si>
    <t>一体化龙头，TOPCon技术行业领先</t>
  </si>
  <si>
    <t>阿特斯</t>
  </si>
  <si>
    <t>200~400</t>
  </si>
  <si>
    <t>1500~2000</t>
  </si>
  <si>
    <t>一体化及大储龙头，大储盈利维持较高水平</t>
  </si>
  <si>
    <t>晶澳科技</t>
  </si>
  <si>
    <t>一体化龙头</t>
  </si>
  <si>
    <t>通威股份</t>
  </si>
  <si>
    <t>300~450</t>
  </si>
  <si>
    <t>1700~2000</t>
  </si>
  <si>
    <t>多晶硅、电池片双龙头，成本行业领先</t>
  </si>
  <si>
    <t>TCL中环</t>
  </si>
  <si>
    <t>-3000~-2200</t>
  </si>
  <si>
    <t>-8000~-6000</t>
  </si>
  <si>
    <t>光伏硅片龙头</t>
  </si>
  <si>
    <t>永臻股份</t>
  </si>
  <si>
    <t>-1800~-1500</t>
  </si>
  <si>
    <t>-6000~-4000</t>
  </si>
  <si>
    <t>光伏边框龙头，越南产能高溢价，收购捷诺威布局液冷第二成长曲线</t>
  </si>
  <si>
    <t>联泓新科</t>
  </si>
  <si>
    <t>0~25</t>
  </si>
  <si>
    <t>100~200</t>
  </si>
  <si>
    <t>EVA树脂龙头，电解液溶剂、VC、隔膜原材料等锂电材料逐步放量</t>
  </si>
  <si>
    <t>福莱特</t>
  </si>
  <si>
    <t>150~450</t>
  </si>
  <si>
    <t>1200~1400</t>
  </si>
  <si>
    <t>光伏玻璃龙头，成本持续领先行业</t>
  </si>
  <si>
    <t>美畅股份</t>
  </si>
  <si>
    <t>-300~100</t>
  </si>
  <si>
    <t>-200~200</t>
  </si>
  <si>
    <t>金刚线龙头，钨丝快速渗透带动盈利修复</t>
  </si>
  <si>
    <t>捷佳伟创</t>
  </si>
  <si>
    <t>6500~6550</t>
  </si>
  <si>
    <t>70~110</t>
  </si>
  <si>
    <t>400~600</t>
  </si>
  <si>
    <t>TOPCon电池片设备龙头，平台化布局拓宽公司成长空间。</t>
  </si>
  <si>
    <t>奥特维</t>
  </si>
  <si>
    <t>2050~2100</t>
  </si>
  <si>
    <t>7450~7500</t>
  </si>
  <si>
    <t>100~150</t>
  </si>
  <si>
    <t>600~650</t>
  </si>
  <si>
    <t>光伏业务订单企稳，光模块检测设备+固态设备重新打开想象空间</t>
  </si>
  <si>
    <t>高测股份</t>
  </si>
  <si>
    <t>950~1000</t>
  </si>
  <si>
    <t>4150~4200</t>
  </si>
  <si>
    <t>0~50</t>
  </si>
  <si>
    <t>150~200</t>
  </si>
  <si>
    <t>充分发挥技术闭环研发优势，新产品迭代助力公司穿越周期。</t>
  </si>
  <si>
    <t>拉普拉斯</t>
  </si>
  <si>
    <t>1350~1400</t>
  </si>
  <si>
    <t>5450~5500</t>
  </si>
  <si>
    <t>650~700</t>
  </si>
  <si>
    <t>BC镀膜设备市占率接近100%，新技术迭代推动量价齐升。</t>
  </si>
  <si>
    <t>帝尔激光</t>
  </si>
  <si>
    <t>2600~2650</t>
  </si>
  <si>
    <t>光伏激光技术开拓者，全电池路线产品布局，龙头地位稳固</t>
  </si>
  <si>
    <t>聚和材料</t>
  </si>
  <si>
    <t>5500~5550</t>
  </si>
  <si>
    <t>22050~22100</t>
  </si>
  <si>
    <t>250~300</t>
  </si>
  <si>
    <t>1000~1050</t>
  </si>
  <si>
    <t>光伏银浆龙头，收购blankmask海外公司，搭建平台型材料企业。</t>
  </si>
  <si>
    <t>储能</t>
  </si>
  <si>
    <t>阳光电源</t>
  </si>
  <si>
    <t>光储龙头，转型AIDC电源</t>
  </si>
  <si>
    <t>德业股份</t>
  </si>
  <si>
    <t>光储龙头，户储&amp;工商储高增长</t>
  </si>
  <si>
    <t>科士达</t>
  </si>
  <si>
    <t>UPS&amp;户储龙头，数据中心业务高景气</t>
  </si>
  <si>
    <t>液冷</t>
  </si>
  <si>
    <t>申菱环境</t>
  </si>
  <si>
    <t>1650~1700</t>
  </si>
  <si>
    <t>6750~6800</t>
  </si>
  <si>
    <t>400~450</t>
  </si>
  <si>
    <t>垂直一体化温控解决方案商，数据中心+电力板块双轮驱动。</t>
  </si>
  <si>
    <t>科创新源</t>
  </si>
  <si>
    <t>2000~2050</t>
  </si>
  <si>
    <t>200~250</t>
  </si>
  <si>
    <t>"材料＋部件"垂直整合，卡位服务器液冷赛道前排</t>
  </si>
  <si>
    <t>锂电</t>
  </si>
  <si>
    <t>宁德时代</t>
  </si>
  <si>
    <t>160000~170000</t>
  </si>
  <si>
    <t>24000~26000</t>
  </si>
  <si>
    <t>锂电龙头，盈利、份额均呈现超额韧性+弹性</t>
  </si>
  <si>
    <t>恩捷股份</t>
  </si>
  <si>
    <t>4485~4680</t>
  </si>
  <si>
    <t>300~350</t>
  </si>
  <si>
    <t>锂电隔膜龙头，盈利、份额均呈现超额韧性+弹性</t>
  </si>
  <si>
    <t>星源材质</t>
  </si>
  <si>
    <t>1100~1300</t>
  </si>
  <si>
    <t>120~180</t>
  </si>
  <si>
    <t>480~720</t>
  </si>
  <si>
    <t>Q2干法、湿法价格利润均呈现改善，业绩修复弹性大</t>
  </si>
  <si>
    <t>厦钨新能</t>
  </si>
  <si>
    <t>6700~7200</t>
  </si>
  <si>
    <t>230~260</t>
  </si>
  <si>
    <t>钴酸锂稳健龙头，硫化锂、NL结构正极等新技术领先</t>
  </si>
  <si>
    <t>天赐材料</t>
  </si>
  <si>
    <t>7600~8000</t>
  </si>
  <si>
    <t>1400~1700</t>
  </si>
  <si>
    <t>锂电电解液龙头，盈利、份额均呈现超额韧性+弹性</t>
  </si>
  <si>
    <t>亿纬锂能</t>
  </si>
  <si>
    <t>1684~1925</t>
  </si>
  <si>
    <t>7000~7500</t>
  </si>
  <si>
    <t>储能电池领军企业，高稼动率，盈利稳健</t>
  </si>
  <si>
    <t>蔚蓝锂芯</t>
  </si>
  <si>
    <t>280~320</t>
  </si>
  <si>
    <t>1100~1300</t>
  </si>
  <si>
    <t>小圆柱电池龙头，全极耳电池开始放量</t>
  </si>
  <si>
    <t>鹏辉能源</t>
  </si>
  <si>
    <t>450~500</t>
  </si>
  <si>
    <t>1700~2000</t>
  </si>
  <si>
    <t>储能电池领军企业，大储+户储盈利修复</t>
  </si>
  <si>
    <t>富临精工</t>
  </si>
  <si>
    <t>300~350</t>
  </si>
  <si>
    <t>1600~1800</t>
  </si>
  <si>
    <t>高压实铁锂龙头企业，份额、盈利稳步上行</t>
  </si>
  <si>
    <t>湖南裕能</t>
  </si>
  <si>
    <t>1000~1500</t>
  </si>
  <si>
    <t>3800~4500</t>
  </si>
  <si>
    <t>铁锂龙头企业，受益碳酸锂库存+铁锂提价</t>
  </si>
  <si>
    <t>万润新能</t>
  </si>
  <si>
    <t>1100~1400</t>
  </si>
  <si>
    <t>转正</t>
  </si>
  <si>
    <t>铁锂领军企业，受益碳酸锂库存+铁锂提价</t>
  </si>
  <si>
    <t>尚太科技</t>
  </si>
  <si>
    <t>220~250</t>
  </si>
  <si>
    <t>负极龙头企业，受益提价</t>
  </si>
  <si>
    <t>中科电气</t>
  </si>
  <si>
    <t>70~100</t>
  </si>
  <si>
    <t>75~85</t>
  </si>
  <si>
    <t>璞泰来</t>
  </si>
  <si>
    <t>700~730</t>
  </si>
  <si>
    <t>3000~3400</t>
  </si>
  <si>
    <t>隔膜涂覆龙头企业，受益隔膜、负极、PVDF等需求增长</t>
  </si>
  <si>
    <t xml:space="preserve">科达利 </t>
  </si>
  <si>
    <t>500~550</t>
  </si>
  <si>
    <t>2200~2400</t>
  </si>
  <si>
    <t>结构件龙头企业，受益电池需求增长</t>
  </si>
  <si>
    <t>多氟多</t>
  </si>
  <si>
    <t>400~500</t>
  </si>
  <si>
    <t>2000~2200</t>
  </si>
  <si>
    <t>6F企业，受益6F价格高位及氟化工涨价</t>
  </si>
  <si>
    <t>华盛锂电</t>
  </si>
  <si>
    <t>180~220</t>
  </si>
  <si>
    <t>800~1000</t>
  </si>
  <si>
    <t>VC龙头，受益VC价格高位</t>
  </si>
  <si>
    <t>海科新源</t>
  </si>
  <si>
    <t>270~300</t>
  </si>
  <si>
    <t>900~1200</t>
  </si>
  <si>
    <t>溶剂龙头，受益VC价格高位及丙二醇提价</t>
  </si>
  <si>
    <t>氢能</t>
  </si>
  <si>
    <t>嘉泽新能</t>
  </si>
  <si>
    <t>绿醇核心标的加速布局，风电主业稳增提供安全边际</t>
  </si>
  <si>
    <t>华电科工</t>
  </si>
  <si>
    <t>电解槽头部公司，海风工程今年30亿项目已开工贡献利润增量</t>
  </si>
  <si>
    <t>科威尔</t>
  </si>
  <si>
    <t>拓展数据中心测试电源业务，光储、锂电设备底部企稳，再迎成长</t>
  </si>
  <si>
    <t>电投绿能</t>
  </si>
  <si>
    <t>绿醇5万吨项目已投产，辐射海外，LNG储运罐和加注船需求旺盛</t>
  </si>
  <si>
    <t>电网&amp;工控</t>
  </si>
  <si>
    <t>思源电气</t>
  </si>
  <si>
    <t>输变电一次设备民企龙头，海外业务快速增长</t>
  </si>
  <si>
    <t>金盘科技</t>
  </si>
  <si>
    <t>AIDC配电变压器龙头，海外订单持续兑现，SST进展顺利</t>
  </si>
  <si>
    <t>三星电气</t>
  </si>
  <si>
    <t>配用电&amp;医疗双轮驱动，海外配电业务进展迅速</t>
  </si>
  <si>
    <t>明阳电气</t>
  </si>
  <si>
    <t>深耕新能源变压器，海风、储能、数据中心下游扩容+新品类拓展+出海贡献成长性</t>
  </si>
  <si>
    <t>平高电气</t>
  </si>
  <si>
    <t>高压开关龙头，受益于特高压、配网建设</t>
  </si>
  <si>
    <t>中国西电</t>
  </si>
  <si>
    <t>一次设备龙头，受益特高压&amp;主网建设，网外&amp;海外市场贡献新增量</t>
  </si>
  <si>
    <t>海兴电力</t>
  </si>
  <si>
    <t>电表出海龙头，海外新能源&amp;配电业务加速拓展</t>
  </si>
  <si>
    <t>国能日新</t>
  </si>
  <si>
    <t>功率预测领先地位稳固，受益于电改进程持续推进</t>
  </si>
  <si>
    <t>汇川技术</t>
  </si>
  <si>
    <t>工控龙头稳健增长，新能源汽车业务高速增长，机器人构建长期成长空间</t>
  </si>
  <si>
    <t>信捷电气</t>
  </si>
  <si>
    <t>小型PLC龙头，中大型PLC+变频器突破开辟工控成长空间，与华为合作人形机器人商业化落地</t>
  </si>
  <si>
    <t>雷赛智能</t>
  </si>
  <si>
    <t>国内步进系统和PC-based控制器份额领先，拓展PLC+伺服完善运动控制平台化布局，机器人电机、灵巧手布局领先</t>
  </si>
  <si>
    <t>大洋电机</t>
  </si>
  <si>
    <t>全球电机领军企业，看好核心技术多赛道延展与价值重塑</t>
  </si>
  <si>
    <t>伟创电气</t>
  </si>
  <si>
    <t>工控出海先锋，机器人布局领先</t>
  </si>
  <si>
    <t>宏发股份</t>
  </si>
  <si>
    <t>全球继电器龙头，AIDC释放高压直流继电器增长潜力</t>
  </si>
  <si>
    <t>风电</t>
  </si>
  <si>
    <t>大金重工</t>
  </si>
  <si>
    <t>1800-2100</t>
  </si>
  <si>
    <t>450-500</t>
  </si>
  <si>
    <t>管桩出口龙头，欧洲海风建设加速，订单及业绩有望加速释放</t>
  </si>
  <si>
    <t>海力风电</t>
  </si>
  <si>
    <t>800-1000</t>
  </si>
  <si>
    <t>60-100</t>
  </si>
  <si>
    <t>管桩头部企业，受益于国内深远海项目加速，出海有望实现突破性进展</t>
  </si>
  <si>
    <t>日月股份</t>
  </si>
  <si>
    <t>1500-1700</t>
  </si>
  <si>
    <t>130-140</t>
  </si>
  <si>
    <t>铸锻件龙头，受益于国内风电需求维持高位</t>
  </si>
  <si>
    <t>东方电缆</t>
  </si>
  <si>
    <t>3000-3400</t>
  </si>
  <si>
    <t>380-420</t>
  </si>
  <si>
    <t>海缆龙头，受益于国内及欧洲海风建设加速</t>
  </si>
  <si>
    <t>金雷股份</t>
  </si>
  <si>
    <t>740-760</t>
  </si>
  <si>
    <t>100-120</t>
  </si>
  <si>
    <t>主轴龙头，品类扩张及出海有望加速</t>
  </si>
  <si>
    <t>时代新材</t>
  </si>
  <si>
    <t>叶片龙二，超容隔膜打开向上空间</t>
  </si>
  <si>
    <t>明阳智能</t>
  </si>
  <si>
    <t>7200-8000</t>
  </si>
  <si>
    <t>260-300</t>
  </si>
  <si>
    <t>海上风机龙头，高价订单进入交付周期，欧洲产能有望实现突破性进展</t>
  </si>
  <si>
    <t>三一重能</t>
  </si>
  <si>
    <t>4500-5500</t>
  </si>
  <si>
    <t>风机头部企业，高价订单进入交付周期，海外收入有望实现放量</t>
  </si>
  <si>
    <t>金风科技</t>
  </si>
  <si>
    <t>14000-16000</t>
  </si>
  <si>
    <t>750-850</t>
  </si>
  <si>
    <t>风机龙头，高价订单进入交付周期，绿氢氨醇逐步放量</t>
  </si>
  <si>
    <t>运达股份</t>
  </si>
  <si>
    <t>4700-5700</t>
  </si>
  <si>
    <t>50-70</t>
  </si>
  <si>
    <t>风机头部企业，高价订单进入交付周期，业绩弹性有望迅速释放</t>
  </si>
  <si>
    <t>√</t>
  </si>
  <si>
    <t>人形机器人</t>
  </si>
  <si>
    <t>奥比中光</t>
  </si>
  <si>
    <t>全球深度相机龙一，破圈3D打印机+数据采集爆发+Q1机器人收入翻三倍</t>
  </si>
  <si>
    <t>绿的谐波</t>
  </si>
  <si>
    <t>全球人形机器人谐波减速器龙一，订单持续超预期</t>
  </si>
  <si>
    <t>三花智控</t>
  </si>
  <si>
    <t>T链执行器龙头，拓展传感器、手部丝杠等新业务</t>
  </si>
  <si>
    <t>拓普集团</t>
  </si>
  <si>
    <t>T链执行器龙头，液冷+商业航天拓展新增长空间</t>
  </si>
  <si>
    <t>柯力传感</t>
  </si>
  <si>
    <t>传感器森林布局完善，六维力矩传感器出货上千台</t>
  </si>
  <si>
    <t>宁波华翔</t>
  </si>
  <si>
    <t>北美合资打造机器人供应平台，PEEK全球卡位龙头</t>
  </si>
  <si>
    <t>银轮股份</t>
  </si>
  <si>
    <t>热管理平台型龙头，燃发+液冷高成长性，机器人卡位头部客户，主业稳健</t>
  </si>
  <si>
    <t>兆威机电</t>
  </si>
  <si>
    <t>微驱动龙头，机器人微电机+齿轮箱+灵巧手全面布局</t>
  </si>
  <si>
    <t>具身智能</t>
  </si>
  <si>
    <t>主机厂</t>
  </si>
  <si>
    <t>中航成飞</t>
  </si>
  <si>
    <t>中航沈飞</t>
  </si>
  <si>
    <t>中航西飞</t>
  </si>
  <si>
    <t>洪都航空</t>
  </si>
  <si>
    <t>两机</t>
  </si>
  <si>
    <t>航发动力</t>
  </si>
  <si>
    <t>中航重机</t>
  </si>
  <si>
    <t>军工电子</t>
  </si>
  <si>
    <t>国博电子</t>
  </si>
  <si>
    <t>振华科技</t>
  </si>
  <si>
    <t>国睿科技</t>
  </si>
  <si>
    <t>航天电器</t>
  </si>
  <si>
    <t>军工</t>
  </si>
  <si>
    <t>化工</t>
  </si>
  <si>
    <t>精细化工</t>
  </si>
  <si>
    <t>万华化学</t>
  </si>
  <si>
    <t>全球聚氨酯龙头，聚氨酯主业受地缘冲突盈利能力增强、石化+新材料（POE/VA/MS等）持续延伸</t>
  </si>
  <si>
    <t>新化股份</t>
  </si>
  <si>
    <t>脂肪胺主业盈利逆势提升、香料宁夏基地放量减亏，叠加电子级异丙醇、盐湖提锂、电池回收等新材料/新能源赛道陆续落地转化</t>
  </si>
  <si>
    <t>汽车零部件</t>
  </si>
  <si>
    <t>赛轮轮胎</t>
  </si>
  <si>
    <t>全球产能布局最大的中国轮胎龙头，越南/柬埔寨/印尼/墨西哥/埃及多基地放量推动产销持续创新高</t>
  </si>
  <si>
    <t>森麒麟</t>
  </si>
  <si>
    <t>摩洛哥1200万条工厂2026年进入投产放量、深耕高端化，欧盟反倾销终裁税率显著下调利好出口</t>
  </si>
  <si>
    <t>煤化工</t>
  </si>
  <si>
    <t>华鲁恒升</t>
  </si>
  <si>
    <t>煤化工低成本龙头企业，兼具反内卷和未来碳中和逻辑，四季度新增产能放量</t>
  </si>
  <si>
    <t>宝丰能源</t>
  </si>
  <si>
    <t>煤制烯烃龙头，低成本优势，二季度业绩放量</t>
  </si>
  <si>
    <t>农化</t>
  </si>
  <si>
    <t>亚钾国际</t>
  </si>
  <si>
    <t>新产能爬坡，业绩放量，盈利维持高位</t>
  </si>
  <si>
    <t>扬农股份</t>
  </si>
  <si>
    <t>农药一体化龙头，葫芦岛一期全面投产贡献增量、二期推进中，新机理杀螨剂氟螨双醚已上市，海外成为营收增长核心驱动</t>
  </si>
  <si>
    <t>电子陶瓷</t>
  </si>
  <si>
    <t>国瓷材料</t>
  </si>
  <si>
    <t>mlcc粉高端放量，氧化锆涨价预期，低空经济，球硅小品量试用</t>
  </si>
  <si>
    <t>白酒</t>
  </si>
  <si>
    <t>贵州茅台</t>
  </si>
  <si>
    <t>超高端白酒需求具备结构性景气+市场化改革推进更好匹配供需</t>
  </si>
  <si>
    <t>五粮液</t>
  </si>
  <si>
    <t>山西汾酒</t>
  </si>
  <si>
    <t>泸州老窖</t>
  </si>
  <si>
    <t>洋河股份</t>
  </si>
  <si>
    <t>古井贡酒</t>
  </si>
  <si>
    <t>今世缘</t>
  </si>
  <si>
    <t>迎驾贡酒</t>
  </si>
  <si>
    <t>舍得酒业</t>
  </si>
  <si>
    <t>水井坊</t>
  </si>
  <si>
    <t>金徽酒</t>
  </si>
  <si>
    <t>调味品</t>
  </si>
  <si>
    <t>海天味业</t>
  </si>
  <si>
    <t>中炬高新</t>
  </si>
  <si>
    <t>千禾味业</t>
  </si>
  <si>
    <t>天味食品</t>
  </si>
  <si>
    <t>安琪酵母</t>
  </si>
  <si>
    <t>宝立食品</t>
  </si>
  <si>
    <t>零食</t>
  </si>
  <si>
    <t>洽洽食品</t>
  </si>
  <si>
    <t>盐津铺子</t>
  </si>
  <si>
    <t>劲仔食品</t>
  </si>
  <si>
    <t>万辰集团</t>
  </si>
  <si>
    <t>软饮</t>
  </si>
  <si>
    <t>百润股份</t>
  </si>
  <si>
    <t>东鹏饮料</t>
  </si>
  <si>
    <t>速冻食品</t>
  </si>
  <si>
    <t>安井食品</t>
  </si>
  <si>
    <t>食品饮料</t>
  </si>
  <si>
    <t>生猪养殖</t>
  </si>
  <si>
    <t>牧原股份</t>
  </si>
  <si>
    <t>由盈转亏</t>
  </si>
  <si>
    <t>温氏股份</t>
  </si>
  <si>
    <t>德康农牧</t>
  </si>
  <si>
    <t>牧业</t>
  </si>
  <si>
    <t>现代牧业</t>
  </si>
  <si>
    <t>扭亏为盈</t>
  </si>
  <si>
    <t>优然牧业</t>
  </si>
  <si>
    <t>农林牧渔</t>
  </si>
  <si>
    <t>白色家电</t>
  </si>
  <si>
    <t>美的集团</t>
  </si>
  <si>
    <t>-</t>
  </si>
  <si>
    <t>海尔智家</t>
  </si>
  <si>
    <t>黑色家电</t>
  </si>
  <si>
    <t>海信视像</t>
  </si>
  <si>
    <t>TCL电子
（港币）</t>
  </si>
  <si>
    <t>小家电</t>
  </si>
  <si>
    <t>苏泊尔</t>
  </si>
  <si>
    <t>石头科技</t>
  </si>
  <si>
    <t>欧圣电气</t>
  </si>
  <si>
    <t>电池</t>
  </si>
  <si>
    <t>安孚科技</t>
  </si>
  <si>
    <t>消费电子</t>
  </si>
  <si>
    <t>绿联科技</t>
  </si>
  <si>
    <t>高股息+业绩稳健的白电龙头，DTC+海外研产销体系推进下C端高质量增长可期，B端业务提速增长，长期空间广阔</t>
  </si>
  <si>
    <t>全球OBM发展领先，国内推进数字变革增强竞争力，海外本土产能优势强，估值安全边际高</t>
  </si>
  <si>
    <t>作为内销龙头年初以来韧性凸现，26年体育赛事拉动下海外出货有望持续提速</t>
  </si>
  <si>
    <t>结构优化+费效提升逻辑持续兑现，盈利中枢有望继续提升，与索尼合作进一步打开成长天花板</t>
  </si>
  <si>
    <t>小家电龙头，近年渠道变革效果显著，持续推进品类扩张，有望随着新兴渠道发力实现增长</t>
  </si>
  <si>
    <t>强品牌势能+份额持续提升的全球扫地机龙头，有望充分受益于全球扫地机行业的成长</t>
  </si>
  <si>
    <t>马来产能利用率提升，主业盈利能力有望迎来修复，受益于养老经济和养老机器人政策催化</t>
  </si>
  <si>
    <t>26年南孚股权回收有望继续增厚利润，易缆微作为第二曲线业务技术稀缺性突出、成长性极强，打开远期天花板</t>
  </si>
  <si>
    <t>海外渠道突破带动3C主业高增长，NAS行业需求加速释放，公司作为赛道龙头有望充分受益</t>
  </si>
  <si>
    <t>家电</t>
  </si>
  <si>
    <t>纺服美护</t>
  </si>
  <si>
    <t>运动户外</t>
  </si>
  <si>
    <t>安踏体育</t>
  </si>
  <si>
    <t>-</t>
  </si>
  <si>
    <t>低单</t>
  </si>
  <si>
    <t>李宁</t>
  </si>
  <si>
    <t>产品与组织架构调整顺利，全年业绩优于预期</t>
  </si>
  <si>
    <t>特步国际</t>
  </si>
  <si>
    <t>滔搏</t>
  </si>
  <si>
    <t>高单下降</t>
  </si>
  <si>
    <t>浙江自然</t>
  </si>
  <si>
    <t>扬州金泉</t>
  </si>
  <si>
    <t>男装/女装</t>
  </si>
  <si>
    <t>报喜鸟</t>
  </si>
  <si>
    <t>比音勒芬</t>
  </si>
  <si>
    <t>森马服饰</t>
  </si>
  <si>
    <t>海澜之家</t>
  </si>
  <si>
    <t>顺应消费降级趋势商业转型拓展创新市区奥莱业态，同时分红水平较高</t>
  </si>
  <si>
    <t>家纺</t>
  </si>
  <si>
    <t>罗莱生活</t>
  </si>
  <si>
    <t>水星家纺</t>
  </si>
  <si>
    <t>稳健医疗</t>
  </si>
  <si>
    <t>中游代工</t>
  </si>
  <si>
    <t>华利集团</t>
  </si>
  <si>
    <t>申洲国际</t>
  </si>
  <si>
    <t>26年订单预计双位数增长，出口链中估值低位</t>
  </si>
  <si>
    <t>伟星股份</t>
  </si>
  <si>
    <t>开润股份</t>
  </si>
  <si>
    <t>减持提前终止资金面压力释放，印尼工厂净利率提升且26年收入有望环比提速</t>
  </si>
  <si>
    <t>纺织原材料</t>
  </si>
  <si>
    <t>新澳股份</t>
  </si>
  <si>
    <t>毛价上行有望带动利润弹性持续释放</t>
  </si>
  <si>
    <t>百隆东方</t>
  </si>
  <si>
    <t>棉价上行有望带动利润弹性持续释放</t>
  </si>
  <si>
    <t>台华新材</t>
  </si>
  <si>
    <t>美容护理</t>
  </si>
  <si>
    <t>毛戈平</t>
  </si>
  <si>
    <t>高端国货具备稀缺性，抖音渠道持续放量</t>
  </si>
  <si>
    <t>上美股份</t>
  </si>
  <si>
    <t>巨子生物</t>
  </si>
  <si>
    <t>低基数下新品驱动拐点，医美开启第二增长曲线</t>
  </si>
  <si>
    <t>若羽臣</t>
  </si>
  <si>
    <t>保健品开始盈利，高端家清持续高增</t>
  </si>
  <si>
    <t>珀莱雅</t>
  </si>
  <si>
    <t>贝泰妮</t>
  </si>
  <si>
    <t>上海家化</t>
  </si>
  <si>
    <t>丸美生物</t>
  </si>
  <si>
    <t>医美</t>
  </si>
  <si>
    <t>锦波生物</t>
  </si>
  <si>
    <t>乐普医疗</t>
  </si>
  <si>
    <t>品宣&amp;运营能力α凸显</t>
  </si>
  <si>
    <t>本产品基于国金证券及其研究人员认为可信的公开资料或实地调研资料制作，但国金证券及其研究人员对这些信息的准确性和完整性不作任何保证。本产品所载观点、预测基于研究人员的不同设想、见解和分析方法，仅为参考之用，不能作为作出投资决策的决定因素。本产品所包含的观点及建议并未考虑个别客户的特殊状况、目标或需要，不应被视为对特定客户关于特定证券或金融工具的建议或策略。对于本产品中提及的任何证券或金融工具，本产品的收件人须保持自身的独立判断。国金证券不对使用本产品所包含的内容产生的任何直接或间接损失或与此有关的其他任何损失承担任何责任。</t>
  </si>
  <si>
    <t>传媒互联网</t>
  </si>
  <si>
    <t>腾讯控股</t>
  </si>
  <si>
    <t>主业收入稳健增长，但短期AI Capex加大影响利润，微信AI agent开启灰测期待后续正式推出</t>
  </si>
  <si>
    <t>哔哩哔哩</t>
  </si>
  <si>
    <t>流量端持续高增；广告收入1Q yoy+30%，显著跑赢大盘，预计全年高增速维持；26H2新游上线周期关注表现；AI赋能用户社区生态+广告业务</t>
  </si>
  <si>
    <t>阿里巴巴</t>
  </si>
  <si>
    <t>悲观情绪已较充分体现，静待多重基本面拐点</t>
  </si>
  <si>
    <t>携程</t>
  </si>
  <si>
    <t>宏观影响+运营调整，Q2业绩或承压</t>
  </si>
  <si>
    <t>分众传媒</t>
  </si>
  <si>
    <t>主业稳健，业绩具备韧性</t>
  </si>
  <si>
    <t>禾赛</t>
  </si>
  <si>
    <t>主业盈利持续兑现，物理AI打开成长曲线</t>
  </si>
  <si>
    <t>互联网媒体</t>
  </si>
  <si>
    <t>互联网电商</t>
  </si>
  <si>
    <t>旅游综合</t>
  </si>
  <si>
    <t>广告营销</t>
  </si>
  <si>
    <t>光学光电子</t>
  </si>
  <si>
    <t>铜</t>
  </si>
  <si>
    <t>紫金矿业</t>
  </si>
  <si>
    <t>锂金铜量增明确，充分受益高价，资产全球布局</t>
  </si>
  <si>
    <t>洛阳钼业</t>
  </si>
  <si>
    <t>铜钴放量确定性强，TFM/KFM盈利贡献持续兑现</t>
  </si>
  <si>
    <t>金诚信</t>
  </si>
  <si>
    <t>矿服现金流托底，自有资源项目逐步放量，矿服龙头向资源平台转型逻辑强化</t>
  </si>
  <si>
    <t>电解铝</t>
  </si>
  <si>
    <t>中国铝业</t>
  </si>
  <si>
    <t>分红率仅37%，提升潜力大</t>
  </si>
  <si>
    <t>云铝股份</t>
  </si>
  <si>
    <t>绿电铝标的，成本较高，氧化铝敞口小，资产负债表优异，分红提升潜力大</t>
  </si>
  <si>
    <t>天山铝业</t>
  </si>
  <si>
    <t>26-27年有量增逻辑，且扩产产能在成本曲线左侧，25年中报提升分红率到50%</t>
  </si>
  <si>
    <t>神火股份</t>
  </si>
  <si>
    <t>电解铝成本曲线左侧产能，氧化铝敞口小，煤炭业务或已度过最差时刻</t>
  </si>
  <si>
    <t>能源金属</t>
  </si>
  <si>
    <t>腾远钴业</t>
  </si>
  <si>
    <t>钴业务具备较大弹性，铜业务产能扩张，利润基本盘稳增</t>
  </si>
  <si>
    <t>小金属</t>
  </si>
  <si>
    <t>中稀有色</t>
  </si>
  <si>
    <t>氧化镝、氧化镨钕价格均有望显著上涨；加工费均显著上涨；公司钨矿项目有望逐步推进</t>
  </si>
  <si>
    <t>北方稀土</t>
  </si>
  <si>
    <t>氧化镨钕价格有望继续上行</t>
  </si>
  <si>
    <t>华锡有色</t>
  </si>
  <si>
    <t>锡价格上行；广西关键金属矿权整合持续推进</t>
  </si>
  <si>
    <t>金钼股份</t>
  </si>
  <si>
    <t>钼价新高可期；公司布局关键钼粉领域，有望得到估值提升</t>
  </si>
  <si>
    <t>有色金属</t>
  </si>
  <si>
    <t>保险</t>
  </si>
  <si>
    <t>众安在线</t>
  </si>
  <si>
    <t>预计2026年全年利润仍将延续高弹性增长</t>
  </si>
  <si>
    <t>中国太平</t>
  </si>
  <si>
    <t>估值低，上半年利润低基数</t>
  </si>
  <si>
    <t>新华保险</t>
  </si>
  <si>
    <t>Q2负债端高增长，强贝塔+较强的投资能力</t>
  </si>
  <si>
    <t>友邦保险</t>
  </si>
  <si>
    <t>全球资产配置的负债端成长性标的</t>
  </si>
  <si>
    <t>中国太保</t>
  </si>
  <si>
    <t>A股估值最低，资产负债表现稳健，Q3基数不高全年利润预计正增长</t>
  </si>
  <si>
    <t>中国人保</t>
  </si>
  <si>
    <t>长期投资标的，寿险负债成本下降、财险承保持续改善、健康险利润快速释放</t>
  </si>
  <si>
    <t>中国平安</t>
  </si>
  <si>
    <t>高股息标的，全年利润基数不高预计正增长</t>
  </si>
  <si>
    <t>券商</t>
  </si>
  <si>
    <t>广发证券</t>
  </si>
  <si>
    <t>国泰海通</t>
  </si>
  <si>
    <t>中国银河</t>
  </si>
  <si>
    <t>东方证券</t>
  </si>
  <si>
    <t>多元</t>
  </si>
  <si>
    <t>香港交易所</t>
  </si>
  <si>
    <t>渤海租赁</t>
  </si>
  <si>
    <t>江苏金租</t>
  </si>
  <si>
    <t>南华期货</t>
  </si>
  <si>
    <t>中国船舶租赁</t>
  </si>
  <si>
    <t>n.a.</t>
  </si>
  <si>
    <t>中银航空租赁</t>
  </si>
  <si>
    <t>中信股份</t>
  </si>
  <si>
    <t>易鑫集团</t>
  </si>
  <si>
    <t>远东宏信</t>
  </si>
  <si>
    <t>湘财股份</t>
  </si>
  <si>
    <t>中油资本</t>
  </si>
  <si>
    <t>四川双马</t>
  </si>
  <si>
    <t>中国光大控股</t>
  </si>
  <si>
    <t>盛业</t>
  </si>
  <si>
    <t>“AI+产业供应链”的数智科技公司，深耕基建、医药医疗、大宗商品等国家支柱行业，积极布局电商、机器人、AI应用等战略新兴产业</t>
  </si>
  <si>
    <t>国内领先的跨境投资与资产管理平台，拥有超28年私募股权投资经验</t>
  </si>
  <si>
    <t>再融资增资海外子公司，国际化布局将提速</t>
  </si>
  <si>
    <t>传统经纪业务受益于高成交额，境外业务占比持续提升</t>
  </si>
  <si>
    <t>综合实力领先，行业推进建设国际一流投行的潜在标的</t>
  </si>
  <si>
    <t>吸收合并上海证券后，综合实力有望提升</t>
  </si>
  <si>
    <t>受益于成交额高增带来的戴维斯双击</t>
  </si>
  <si>
    <t>资产端受益于飞机行业高景气度，负债端受益于成本率下行</t>
  </si>
  <si>
    <t>聚焦小微零售，量价双驱+三位一体风控构筑护城河</t>
  </si>
  <si>
    <t>A股市场稀缺期货上市标的，境外业务行业领先</t>
  </si>
  <si>
    <t>高股息标的，受益于油运行业高景气度，股息率约6%</t>
  </si>
  <si>
    <t>高股息标的，受益于飞机租赁行业高景气度，股息率约5%</t>
  </si>
  <si>
    <t>高股息标的，业绩稳健，股息率约6%</t>
  </si>
  <si>
    <t>二手车业务扩张、渗透率提升驱动业绩高速增长</t>
  </si>
  <si>
    <t>高股息标的，业绩稳健，股息率超9%</t>
  </si>
  <si>
    <t>金融科技赋能的特色财富管理发展路径，拟吸收合并大智慧具备想象空间</t>
  </si>
  <si>
    <t>背靠中国石油集团，产业链客户资源丰富，盈利具备韧性</t>
  </si>
  <si>
    <t>围绕多肽打造创新药产业平台，科技赛道投资能力卓越+政策支持创投的背景下项目退出有望加速，业绩高弹性修复可期</t>
  </si>
  <si>
    <t>非银</t>
  </si>
  <si>
    <t>药品</t>
  </si>
  <si>
    <t>百济神州</t>
  </si>
  <si>
    <t>泽布替尼延续高速放量态势，维持全球BTKi市场领导地位，盈利能力加速改善。研发管线高效推进，研发进展催化密集。</t>
  </si>
  <si>
    <t>三生国健</t>
  </si>
  <si>
    <t>SSGJ-707辉瑞牵头开展多项全球III期里程碑逐步兑现及后续销售分成预期，自研管线近两年有望陆续获批</t>
  </si>
  <si>
    <t>君实生物</t>
  </si>
  <si>
    <t>Q3出PD1/VEGF双抗联合EGFR/HER3 ADC的数据，存在BD机遇</t>
  </si>
  <si>
    <t>康诺亚</t>
  </si>
  <si>
    <t>CM310销售放量超预期，CM512数据读出在即，长效优势明显，且26H2有多催化剂</t>
  </si>
  <si>
    <t>CXO</t>
  </si>
  <si>
    <t>药明康德</t>
  </si>
  <si>
    <t>Tides业务快速放量，小分子DM全球竞争力领先</t>
  </si>
  <si>
    <t>药明合联</t>
  </si>
  <si>
    <t>3650（上半年）</t>
  </si>
  <si>
    <t>980（上半年）</t>
  </si>
  <si>
    <t>ADC行业景气度旺盛，公司逐步由向商业化放量推进</t>
  </si>
  <si>
    <t>凯莱英</t>
  </si>
  <si>
    <t>持续布局ADC、GLP-1等新分子业务，业绩快速增长</t>
  </si>
  <si>
    <t>医疗器械</t>
  </si>
  <si>
    <t>迈瑞医疗</t>
  </si>
  <si>
    <t>国内医疗设备需求逐步复苏，海外诊断及新业务快速增长</t>
  </si>
  <si>
    <t>惠泰医疗</t>
  </si>
  <si>
    <t>电生理PFA新产品快速推广，血管介入持续国产替代</t>
  </si>
  <si>
    <t>鱼跃医疗</t>
  </si>
  <si>
    <t>CGM等系产品份额持续提升，海外市场拓展逐步进入收获期</t>
  </si>
  <si>
    <t>安图生物</t>
  </si>
  <si>
    <t>国内降价影响逐步进入尾声，分子质谱等新产品拓展迅速</t>
  </si>
  <si>
    <t>心脉医疗</t>
  </si>
  <si>
    <t>外周介入产品注册完善，海外市场高速增长</t>
  </si>
  <si>
    <t>生物制品</t>
  </si>
  <si>
    <t>甘李药业</t>
  </si>
  <si>
    <t>三代胰岛素龙头，研发及出海进度领跑</t>
  </si>
  <si>
    <t>特宝生物</t>
  </si>
  <si>
    <t>慢乙肝治愈龙头，长效干扰素持续放量，生长激素贡献增量业绩</t>
  </si>
  <si>
    <t>医疗服务</t>
  </si>
  <si>
    <t>爱尔眼科</t>
  </si>
  <si>
    <t>眼科医疗服务龙头，屈光高端术式放量贡献增长</t>
  </si>
  <si>
    <t>通策医疗</t>
  </si>
  <si>
    <t>齿科医疗服务龙头，大部制改革初显成效</t>
  </si>
  <si>
    <t>华厦眼科</t>
  </si>
  <si>
    <t>药店</t>
  </si>
  <si>
    <t>益丰药房</t>
  </si>
  <si>
    <t>内生增长有望继续稳健表现，同时26年有望重启并购，外延打开增长空间。</t>
  </si>
  <si>
    <t>大参林</t>
  </si>
  <si>
    <t>降本增效成果显著，26年继续在自建并购加盟方面加速扩张。</t>
  </si>
  <si>
    <t>中药</t>
  </si>
  <si>
    <t>东阿阿胶</t>
  </si>
  <si>
    <t>稳增长高股息的优质中药消费标的，十五五战略值得关注。</t>
  </si>
  <si>
    <t>济川药业</t>
  </si>
  <si>
    <t>在手现金充足、高股息中药标的。</t>
  </si>
  <si>
    <r>
      <t>收入预测</t>
    </r>
    <r>
      <rPr>
        <charset val="134"/>
        <sz val="16"/>
        <color rgb="FFFFFFFF"/>
        <rFont val="微软雅黑"/>
      </rPr>
      <t xml:space="preserve">
</t>
    </r>
    <r>
      <rPr>
        <b/>
        <charset val="134"/>
        <sz val="16"/>
        <color rgb="FFFFFFFF"/>
        <rFont val="微软雅黑"/>
      </rPr>
      <t>（百万元，人民币）</t>
    </r>
  </si>
  <si>
    <r>
      <t>归母净利润预测</t>
    </r>
    <r>
      <rPr>
        <charset val="134"/>
        <sz val="16"/>
        <color rgb="FFFFFFFF"/>
        <rFont val="微软雅黑"/>
      </rPr>
      <t xml:space="preserve">
</t>
    </r>
    <r>
      <rPr>
        <b/>
        <charset val="134"/>
        <sz val="16"/>
        <color rgb="FFFFFFFF"/>
        <rFont val="微软雅黑"/>
      </rPr>
      <t>（百万元，人民币）</t>
    </r>
  </si>
  <si>
    <t>医药</t>
  </si>
  <si>
    <t>归母净利润同比增速
 （%）</t>
  </si>
  <si>
    <t>1Q26业绩是否超市场预期</t>
  </si>
  <si>
    <t>PCB</t>
  </si>
  <si>
    <t>生益科技</t>
  </si>
  <si>
    <t>A股唯一进入海外AI覆铜板的厂商；覆铜板涨价</t>
  </si>
  <si>
    <t>南亚新材</t>
  </si>
  <si>
    <t>国产算力覆铜板，M10正在给海外大厂送样</t>
  </si>
  <si>
    <t>深南电路</t>
  </si>
  <si>
    <t>BT载板涨价，谷歌核心供应商，AMD核心供应商</t>
  </si>
  <si>
    <t>鹏鼎控股</t>
  </si>
  <si>
    <t>HDI进入英伟达、ASIC放量在即</t>
  </si>
  <si>
    <t>景旺电子</t>
  </si>
  <si>
    <t>英伟达新进供应商，供货放量在即</t>
  </si>
  <si>
    <t>生益电子</t>
  </si>
  <si>
    <t>亚马逊核心供应商，交换机PCB开始放量</t>
  </si>
  <si>
    <t>广合科技</t>
  </si>
  <si>
    <t>全球CPU主板核心供应商，AI PCB有望发力</t>
  </si>
  <si>
    <t>沪电股份</t>
  </si>
  <si>
    <t>深度受益交换机及AI服务器需求强劲</t>
  </si>
  <si>
    <t>半导体设备/零部件</t>
  </si>
  <si>
    <t>北方华创</t>
  </si>
  <si>
    <t>半导体设备龙头公司，存储及先进制程占比高，受益于后续存储扩产催化</t>
  </si>
  <si>
    <t>中微公司</t>
  </si>
  <si>
    <t>刻蚀设备龙头公司，存储厂商扩产弹性最大标的，薄膜沉积新品出货</t>
  </si>
  <si>
    <t>华海清科</t>
  </si>
  <si>
    <t>CMP龙头公司，减薄等新业务领域布局带来新成长曲线</t>
  </si>
  <si>
    <t>长电科技</t>
  </si>
  <si>
    <t>封测龙头公司，苹果持续拉货，先进封装及汽车电子快速放量</t>
  </si>
  <si>
    <t>汇成真空</t>
  </si>
  <si>
    <t>镀膜设备龙头公司，产品应用于光刻机镜头PVD镀膜工艺</t>
  </si>
  <si>
    <t>中科飞测</t>
  </si>
  <si>
    <t>量/检测设备核心供应商，订单有望随产品突破迎来放量</t>
  </si>
  <si>
    <t>精测电子</t>
  </si>
  <si>
    <t>先进制程明场设备交付，OCD、膜厚、电子束等设备7nm已完成交付验收且更先进制程设备在配合客户做研发</t>
  </si>
  <si>
    <t>波长光电</t>
  </si>
  <si>
    <t>光刻机光学快速增长</t>
  </si>
  <si>
    <t>新莱应材</t>
  </si>
  <si>
    <t>半导体设备零组件gasline模组供应商，受益于国产半导体设备商订单高景气度的核心标的之一</t>
  </si>
  <si>
    <t>正帆科技</t>
  </si>
  <si>
    <t>CAPEX新签订单保持增长，OPEX业务逐步放量</t>
  </si>
  <si>
    <t>江丰电子</t>
  </si>
  <si>
    <t>溅射靶材行业龙头短期受益fab稼动率提升，长期受益于零组件和半导体设备国产化率的双重提升</t>
  </si>
  <si>
    <t>半导体芯片</t>
  </si>
  <si>
    <t>恒玄科技</t>
  </si>
  <si>
    <t>可穿戴SoC龙头，25年重点布局AI眼镜领域，下一代产品25年流片</t>
  </si>
  <si>
    <t>全志科技</t>
  </si>
  <si>
    <t>下游需求回暖，25年重点关注车载和工业新品上量</t>
  </si>
  <si>
    <t>瑞芯微</t>
  </si>
  <si>
    <t>AloT SoC龙头，高单价产品3588放量常来业绩弹性</t>
  </si>
  <si>
    <t>炬芯科技</t>
  </si>
  <si>
    <t>大客户哈曼、大疆持续放量，端侧AISoC产品开始放量，关注存算一体在端侧Al的趋势</t>
  </si>
  <si>
    <t>乐鑫科技</t>
  </si>
  <si>
    <t>产品矩阵逐渐丰富+新品客户增长+叠加行业智能化程度提升</t>
  </si>
  <si>
    <t>泰凌微</t>
  </si>
  <si>
    <t>蓝牙SoC龙头厂商，公司下游赛道均维持高景气度</t>
  </si>
  <si>
    <t>兆易创新</t>
  </si>
  <si>
    <t>利基存储芯片受益于端侧AI爆发：DDR4涨价迅猛，3D堆叠DRAM产品进展顺利</t>
  </si>
  <si>
    <t>澜起科技</t>
  </si>
  <si>
    <t>DDR5接口芯片受益于行业加速，CXL和Retimer芯片等新业务持续放量</t>
  </si>
  <si>
    <t>江波龙</t>
  </si>
  <si>
    <t>NA</t>
  </si>
  <si>
    <t>存储模组龙头，深度受益存储芯片涨价</t>
  </si>
  <si>
    <t>北京君正</t>
  </si>
  <si>
    <t>行业市场需求稳定，消费类soc受益于行业智能化加速。</t>
  </si>
  <si>
    <t>国产GPU龙头厂商，下游客户开始放量</t>
  </si>
  <si>
    <t>国产CPU龙头厂商，CPU+GPU一站式布局</t>
  </si>
  <si>
    <t>普冉股份</t>
  </si>
  <si>
    <t>AI终端需求爆发+存储涨价周期，并购SHM切入2D NAND赛道</t>
  </si>
  <si>
    <t>扬杰科技</t>
  </si>
  <si>
    <t>海外业务回暖，整体业绩稳中向好，加大汽车、AI等新兴领域投入力度</t>
  </si>
  <si>
    <t>捷捷微电</t>
  </si>
  <si>
    <t>新洁能</t>
  </si>
  <si>
    <t>在手订单饱满，新兴领域持续放量</t>
  </si>
  <si>
    <t>天岳先进</t>
  </si>
  <si>
    <t>扭亏</t>
  </si>
  <si>
    <t>SiC 8寸衬底在海外眼镜客户放量，CoWoS有望在封装使用SiC材料</t>
  </si>
  <si>
    <t>英诺赛科</t>
  </si>
  <si>
    <t>硅基氮化镓全球行业龙头，8英寸产能全球领先</t>
  </si>
  <si>
    <t>半导体材料</t>
  </si>
  <si>
    <t>安集科技</t>
  </si>
  <si>
    <t>抛光液龙头，业绩稳健增长</t>
  </si>
  <si>
    <t>鼎龙股份</t>
  </si>
  <si>
    <t>抛光垫龙头，半导体材料平台公司，业绩快速增长</t>
  </si>
  <si>
    <t>雅克科技</t>
  </si>
  <si>
    <t>通过跨境并购转型为半导体材料平台型企业，前驱体业务营收全球前三，同时是国内LNG保温绝热材料打破国外垄断的独家供应商</t>
  </si>
  <si>
    <t>兴福电子</t>
  </si>
  <si>
    <t>国内湿电子化学品龙头，电子级磷酸连续三年国内市场占有率第一（69.69%），深度绑定长江存储、中芯国际等头部晶圆厂，受益国产替代与扩产红利</t>
  </si>
  <si>
    <t>飞凯材料</t>
  </si>
  <si>
    <t>从光纤涂覆材料起家，布局半导体制造与封装材料（光刻胶、环氧塑封料、临时键合方案）、液晶显示材料，构建多元化材料矩阵，并在第三代半导体封装材料领域实现量产出货</t>
  </si>
  <si>
    <t>立昂微</t>
  </si>
  <si>
    <t>减亏</t>
  </si>
  <si>
    <t>扭亏</t>
  </si>
  <si>
    <t>重掺硅片技术优势突出，12英寸重掺外延片终端应用于AI服务器电源、新能源汽车等场景，受益于AI算力对功率器件硅片需求的拉动；同时是国内少数具备6英寸砷化镓射频芯片量产能力的厂商</t>
  </si>
  <si>
    <t>沪硅股份</t>
  </si>
  <si>
    <t>亏损扩大</t>
  </si>
  <si>
    <t>国内半导体硅片龙头，12英寸大硅片国产化核心供应商，受益于晶圆厂扩产与国产替代长期趋势</t>
  </si>
  <si>
    <t>西安奕材</t>
  </si>
  <si>
    <t>国内12英寸硅片领域的重要新兴力量，聚焦大硅片国产化</t>
  </si>
  <si>
    <t>EDA</t>
  </si>
  <si>
    <t>华大九天</t>
  </si>
  <si>
    <t>转亏</t>
  </si>
  <si>
    <t>国内EDA（电子设计自动化）全流程工具链龙头，模拟电路设计EDA工具国内领先，受益于国产EDA替代加速</t>
  </si>
  <si>
    <t>概伦电子</t>
  </si>
  <si>
    <t>专注器件建模和电路仿真EDA工具，在存储器设计领域具备差异化竞争优势</t>
  </si>
  <si>
    <t>广立微</t>
  </si>
  <si>
    <t>聚焦芯片良率提升领域的EDA软件与测试设备，在晶圆厂良率管理环节具有独特卡位</t>
  </si>
  <si>
    <t>立讯精密</t>
  </si>
  <si>
    <t>算力电连接产品导入海外大客户+AI端侧升级+苹果销量有望超预期</t>
  </si>
  <si>
    <t>领益智造</t>
  </si>
  <si>
    <t>苹果业务稳健增长，积极布局AI液冷</t>
  </si>
  <si>
    <t>三环集团</t>
  </si>
  <si>
    <t>SOFC伴随海外大客户放量+顺周期需求回暖+MLCC国产替代加速</t>
  </si>
  <si>
    <t>顺络电子</t>
  </si>
  <si>
    <t>AI电感放量+车载业务放量+新兴领域布局</t>
  </si>
  <si>
    <t>江海股份</t>
  </si>
  <si>
    <t>光储业务底部向上+超容/牛角电容在AI服务器应用</t>
  </si>
  <si>
    <t>蓝特光学</t>
  </si>
  <si>
    <t>微棱镜、模造玻璃、半导体光学业务快速增长</t>
  </si>
  <si>
    <t>海外科技（百万美元）</t>
  </si>
  <si>
    <t>英伟达 （GAAP利润）</t>
  </si>
  <si>
    <t>全球最大GPU公司</t>
  </si>
  <si>
    <t>台积电</t>
  </si>
  <si>
    <t>全球最大晶圆代工厂</t>
  </si>
  <si>
    <t xml:space="preserve">博通 </t>
  </si>
  <si>
    <t>全球最大交换机芯片公司</t>
  </si>
  <si>
    <t>天弘科技 （调整后利润）</t>
  </si>
  <si>
    <t>AI服务器及交换机代工</t>
  </si>
  <si>
    <t>AMD （调整后利润）</t>
  </si>
  <si>
    <t>全球知名CPU/GPU公司</t>
  </si>
  <si>
    <t>Credo （调整后利润）</t>
  </si>
  <si>
    <t>全球AEC龙头</t>
  </si>
  <si>
    <t>电子</t>
  </si>
  <si>
    <t>√</t>
  </si>
  <si>
    <t>航运</t>
  </si>
  <si>
    <t>中远海能</t>
  </si>
  <si>
    <t>全球油运龙头，受益于霍尔木兹海峡放开后全球原油成品油补库</t>
  </si>
  <si>
    <t>中远海控</t>
  </si>
  <si>
    <t>全球集运龙头，受益于红海、中东局势升级，绕行带来效率损失提价</t>
  </si>
  <si>
    <t>中谷物流</t>
  </si>
  <si>
    <t>内贸集运龙头，造船价格低，新船型为外贸稀缺船型，租金回报率高</t>
  </si>
  <si>
    <t>快递</t>
  </si>
  <si>
    <t>顺丰控股</t>
  </si>
  <si>
    <t>高端时效网络主导者，构建快递、快运、空运、供应链与国际的全栈物流网络</t>
  </si>
  <si>
    <t>中通快递-W</t>
  </si>
  <si>
    <t>国内通达快递龙头，受益于行业反内卷带来的利润与市占率回升</t>
  </si>
  <si>
    <t>航空</t>
  </si>
  <si>
    <t>南方航空</t>
  </si>
  <si>
    <t>NA</t>
  </si>
  <si>
    <t>国内三大航之一，枢纽为广州白云机场，受益于油价回落与国际线增开</t>
  </si>
  <si>
    <t>中国国航</t>
  </si>
  <si>
    <t>国内三大航之一，枢纽为北京首都机场，受益于油价回落与国际线增开</t>
  </si>
  <si>
    <t>春秋航空</t>
  </si>
  <si>
    <t>国内低成本航空龙头，以上海为主枢纽，极致的低成本导致经营优势显著</t>
  </si>
  <si>
    <t>吉祥航空</t>
  </si>
  <si>
    <t>国内民营精品航空公司，以上海为主枢纽，经营成本显著低于三大航，开辟欧洲航线</t>
  </si>
  <si>
    <t>机场</t>
  </si>
  <si>
    <t>上海机场</t>
  </si>
  <si>
    <t>上海虹桥+浦东机场，国际旅客占比高，依靠商业带来超额盈利</t>
  </si>
  <si>
    <t>白云机场</t>
  </si>
  <si>
    <t>广州白云机场，国际旅客超过疫情前，T3投入后产能利用率待提升</t>
  </si>
  <si>
    <t>跨境</t>
  </si>
  <si>
    <t>嘉友国际</t>
  </si>
  <si>
    <t>主营蒙煤贸易、运输、仓储，第二增长曲线来自非洲的陆港，双轮驱动</t>
  </si>
  <si>
    <t>东航物流</t>
  </si>
  <si>
    <t>东方航空的货运公司，拥有近20架777F，主营欧美长航线，受益于运价提升</t>
  </si>
  <si>
    <t>公路</t>
  </si>
  <si>
    <t>中国外运</t>
  </si>
  <si>
    <t>央企全链路物流，以代理业务稳定现金流，专业物流和电商服务向高附加值转型</t>
  </si>
  <si>
    <t>皖通高速</t>
  </si>
  <si>
    <t>安徽唯一公路现金牛企业，掌控长三角西翼核心网络</t>
  </si>
  <si>
    <t>宁沪高速</t>
  </si>
  <si>
    <t>长三角核心路网垄断企业，持有近1000公里长三角核心路产，长期现金流稳定</t>
  </si>
  <si>
    <t>招商公路</t>
  </si>
  <si>
    <t>中国最长公路央企，掌控超8000公里核心路网，资产集中于高车流量经济区域</t>
  </si>
  <si>
    <t>铁路</t>
  </si>
  <si>
    <t>京沪高铁</t>
  </si>
  <si>
    <t>中国唯一上市高铁运营商，以轻资产模式运营核心高铁网络，路网服务贡献超6成利润，毛利率远超行业</t>
  </si>
  <si>
    <t>大秦铁路</t>
  </si>
  <si>
    <t>亿吨级专线运煤，西煤东运主通道，大秦线运量占比高，服务高度刚性</t>
  </si>
  <si>
    <t>交运</t>
  </si>
  <si>
    <t>商贸零售</t>
  </si>
  <si>
    <t>中国中免</t>
  </si>
  <si>
    <t>4月DFS大中华区并表增厚利润，机场渠道调改持续推进</t>
  </si>
  <si>
    <t>豫园股份</t>
  </si>
  <si>
    <t>黄金珠宝同店修复，地产拖累逐步出清</t>
  </si>
  <si>
    <t>黄金珠宝</t>
  </si>
  <si>
    <t>老铺黄金</t>
  </si>
  <si>
    <t>n.a</t>
  </si>
  <si>
    <t>门店点位优化同店高增持续，涨价后市场接受度好于预期，带动毛利率修复</t>
  </si>
  <si>
    <t>潮宏基</t>
  </si>
  <si>
    <t>毛利率提升或带动利润端超预期</t>
  </si>
  <si>
    <t>跨境电商</t>
  </si>
  <si>
    <t>安克创新</t>
  </si>
  <si>
    <t>储能高增持续，下半年低基数，业绩逐季向上</t>
  </si>
  <si>
    <t>小商品城</t>
  </si>
  <si>
    <t>市场业务选位费逐步计提收入，AI及支付业务高增持续，进口业务政策有望催化</t>
  </si>
  <si>
    <t>致欧科技</t>
  </si>
  <si>
    <t>消费降级受益，北美地区拓市场、拓大件产品，叠加亚马逊SC转VC带动毛利率提升</t>
  </si>
  <si>
    <t>赛维时代</t>
  </si>
  <si>
    <t>去库结束，低基数下增速提升</t>
  </si>
  <si>
    <t>华宝新能</t>
  </si>
  <si>
    <t>欧美储能需求驱动，供应链转移后毛利率优化</t>
  </si>
  <si>
    <t>餐饮</t>
  </si>
  <si>
    <t>海底捞</t>
  </si>
  <si>
    <t>主品牌拓店加速，翻台率持续改善，子品牌逐步拓展，稳定高分红</t>
  </si>
  <si>
    <t>百胜中国（美元）</t>
  </si>
  <si>
    <t>下沉拓店持续加密，多品牌门店模型带来第二增长曲线</t>
  </si>
  <si>
    <t>锅圈</t>
  </si>
  <si>
    <t>大店模型加速拓展，无人零售模型持续验证</t>
  </si>
  <si>
    <t>小菜园</t>
  </si>
  <si>
    <t>降价政策不断消化，门店收入占比稳健提升，拓店高确定性</t>
  </si>
  <si>
    <t>茶饮</t>
  </si>
  <si>
    <t>古茗</t>
  </si>
  <si>
    <t>拓店持续推进，新SKU早餐与咖啡对冲补贴退坡压力，全年同店有望企稳</t>
  </si>
  <si>
    <t>蜜雪集团</t>
  </si>
  <si>
    <t>平价茶饮龙头地位巩固，供应链优势持续释放</t>
  </si>
  <si>
    <t>酒店</t>
  </si>
  <si>
    <t>锦江酒店</t>
  </si>
  <si>
    <t>提质改革逐步见效，增长有望快于行业</t>
  </si>
  <si>
    <t>首旅酒店</t>
  </si>
  <si>
    <t>受益RevPAR企稳、轻资产标准管理店扩张和中高端占比提升，经营质量持续改善</t>
  </si>
  <si>
    <t>唐山港</t>
  </si>
  <si>
    <t>以干散货为核心业务的港口，分红率高</t>
  </si>
  <si>
    <t>宏川智慧</t>
  </si>
  <si>
    <t>石化仓储龙头，拥有超700万立方米储罐容量，客户粘性与定价权稳固</t>
  </si>
  <si>
    <t>密尔克卫</t>
  </si>
  <si>
    <t>危险品全链条整合者，危化物流合规龙头，70万平方米全国危化仓储网络与全链条合规能力</t>
  </si>
  <si>
    <t>港口</t>
  </si>
  <si>
    <t>危化品</t>
  </si>
</sst>
</file>

<file path=xl/styles.xml><?xml version="1.0" encoding="utf-8"?>
<styleSheet xmlns="http://schemas.openxmlformats.org/spreadsheetml/2006/main">
  <numFmts count="23">
    <numFmt numFmtId="0" formatCode="General"/>
    <numFmt numFmtId="164" formatCode="#,##0.0"/>
    <numFmt numFmtId="1" formatCode="0"/>
    <numFmt numFmtId="9" formatCode="0%"/>
    <numFmt numFmtId="174" formatCode="###,###,##0"/>
    <numFmt numFmtId="166" formatCode="0_ "/>
    <numFmt numFmtId="171" formatCode="0.00_);[Red]\(0.00\)"/>
    <numFmt numFmtId="2" formatCode="0.00"/>
    <numFmt numFmtId="3" formatCode="#,##0"/>
    <numFmt numFmtId="10" formatCode="0.00%"/>
    <numFmt numFmtId="170" formatCode="_(&quot;£&quot;* #,##0.00_);_(&quot;£&quot;* \(#,##0.00\);_(&quot;£&quot;* &quot;-&quot;??_);_(@_)"/>
    <numFmt numFmtId="4" formatCode="#,##0.00"/>
    <numFmt numFmtId="165" formatCode="0_);[Red]\(0\)"/>
    <numFmt numFmtId="168" formatCode="0.0%"/>
    <numFmt numFmtId="169" formatCode="_ * #,##0_ ;_ * \-#,##0_ ;_ * &quot;-&quot;??_ ;_ @_ "/>
    <numFmt numFmtId="175" formatCode="#,##0_ ;@"/>
    <numFmt numFmtId="176" formatCode="#,##0.00_ ;@"/>
    <numFmt numFmtId="177" formatCode="#,##0_);[Red]\(#,##0\)"/>
    <numFmt numFmtId="172" formatCode="0.0_ "/>
    <numFmt numFmtId="173" formatCode="0.0_);[Red]\(0.0\)"/>
    <numFmt numFmtId="49" formatCode="@"/>
    <numFmt numFmtId="167" formatCode="0.00_ "/>
    <numFmt numFmtId="43" formatCode="_ * #,##0.00_ ;_ * \-#,##0.00_ ;_ * &quot;-&quot;??_ ;_ @_ "/>
  </numFmts>
  <fonts count="16">
    <font>
      <name val="等线"/>
      <sz val="11"/>
    </font>
    <font>
      <name val="微软雅黑"/>
      <charset val="134"/>
      <sz val="16"/>
      <color rgb="FF000000"/>
    </font>
    <font>
      <name val="微软雅黑"/>
      <b/>
      <charset val="134"/>
      <sz val="20"/>
      <color rgb="FFFFFFFF"/>
    </font>
    <font>
      <name val="微软雅黑"/>
      <b/>
      <charset val="134"/>
      <sz val="16"/>
      <color rgb="FFFFFFFF"/>
    </font>
    <font>
      <name val="微软雅黑"/>
      <charset val="134"/>
      <sz val="16"/>
      <color rgb="FF000000"/>
    </font>
    <font>
      <name val="等线"/>
      <charset val="134"/>
      <sz val="11"/>
      <color rgb="FF000000"/>
    </font>
    <font>
      <name val="微软雅黑"/>
      <charset val="134"/>
      <sz val="11"/>
      <color rgb="FF000000"/>
    </font>
    <font>
      <name val="微软雅黑"/>
      <charset val="134"/>
      <sz val="16"/>
    </font>
    <font>
      <name val="微软雅黑"/>
      <charset val="134"/>
      <sz val="14"/>
      <color rgb="FF000000"/>
    </font>
    <font>
      <name val="微软雅黑"/>
      <charset val="134"/>
      <sz val="16"/>
      <color indexed="8"/>
    </font>
    <font>
      <name val="微软雅黑"/>
      <sz val="16"/>
      <color rgb="FF000000"/>
    </font>
    <font>
      <name val="黑体"/>
      <charset val="134"/>
      <sz val="16"/>
      <color rgb="FF000000"/>
    </font>
    <font>
      <name val="等线"/>
      <charset val="134"/>
      <sz val="11"/>
      <color rgb="FF000000"/>
    </font>
    <font>
      <name val="等线"/>
      <charset val="134"/>
      <sz val="10"/>
      <color rgb="FF000000"/>
    </font>
    <font>
      <name val="等线"/>
      <charset val="134"/>
      <sz val="11"/>
      <color rgb="FF000000"/>
    </font>
    <font>
      <name val="等线"/>
      <sz val="11"/>
      <color rgb="FF000000"/>
    </font>
  </fonts>
  <fills count="8">
    <fill>
      <patternFill patternType="none"/>
    </fill>
    <fill>
      <patternFill patternType="gray125"/>
    </fill>
    <fill>
      <patternFill patternType="solid">
        <fgColor rgb="FF002060"/>
        <bgColor indexed="64"/>
      </patternFill>
    </fill>
    <fill>
      <patternFill patternType="solid">
        <fgColor rgb="FFFFFFFF"/>
        <bgColor indexed="64"/>
      </patternFill>
    </fill>
    <fill>
      <patternFill patternType="solid">
        <fgColor rgb="FF002060"/>
        <bgColor rgb="FF000000"/>
      </patternFill>
    </fill>
    <fill>
      <patternFill patternType="solid">
        <fgColor rgb="FFFFFFFF"/>
      </patternFill>
    </fill>
    <fill>
      <patternFill patternType="solid">
        <fgColor rgb="FFFFFFFF"/>
        <bgColor rgb="FF000000"/>
      </patternFill>
    </fill>
    <fill>
      <patternFill patternType="solid">
        <fgColor indexed="65"/>
        <bgColor indexed="64"/>
      </patternFill>
    </fill>
  </fills>
  <borders count="53">
    <border>
      <left/>
      <right/>
      <top/>
      <bottom/>
      <diagonal/>
    </border>
    <border>
      <left style="thin">
        <color indexed="64"/>
      </left>
      <right/>
      <top style="thin">
        <color indexed="64"/>
      </top>
      <bottom style="thin">
        <color rgb="FFFFFFFF"/>
      </bottom>
      <diagonal/>
    </border>
    <border>
      <left/>
      <right/>
      <top style="thin">
        <color indexed="64"/>
      </top>
      <bottom style="thin">
        <color rgb="FFFFFFFF"/>
      </bottom>
      <diagonal/>
    </border>
    <border>
      <left/>
      <right style="thin">
        <color indexed="64"/>
      </right>
      <top style="thin">
        <color indexed="64"/>
      </top>
      <bottom style="thin">
        <color rgb="FFFFFFFF"/>
      </bottom>
      <diagonal/>
    </border>
    <border>
      <left style="thin">
        <color indexed="64"/>
      </left>
      <right style="thin">
        <color rgb="FFFFFFFF"/>
      </right>
      <top/>
      <bottom/>
      <diagonal/>
    </border>
    <border>
      <left style="thin">
        <color rgb="FFFFFFFF"/>
      </left>
      <right style="thin">
        <color rgb="FFFFFFFF"/>
      </right>
      <top/>
      <bottom/>
      <diagonal/>
    </border>
    <border>
      <left style="thin">
        <color rgb="FFFFFFFF"/>
      </left>
      <right/>
      <top/>
      <bottom style="thin">
        <color rgb="FFFFFFFF"/>
      </bottom>
      <diagonal/>
    </border>
    <border>
      <left/>
      <right style="thin">
        <color rgb="FFFFFFFF"/>
      </right>
      <top/>
      <bottom style="thin">
        <color rgb="FFFFFFFF"/>
      </bottom>
      <diagonal/>
    </border>
    <border>
      <left/>
      <right/>
      <top/>
      <bottom style="thin">
        <color rgb="FFFFFFFF"/>
      </bottom>
      <diagonal/>
    </border>
    <border>
      <left style="thin">
        <color rgb="FFFFFFFF"/>
      </left>
      <right style="thin">
        <color indexed="64"/>
      </right>
      <top/>
      <bottom/>
      <diagonal/>
    </border>
    <border>
      <left style="thin">
        <color indexed="64"/>
      </left>
      <right style="thin">
        <color rgb="FFFFFFFF"/>
      </right>
      <top/>
      <bottom style="thin">
        <color indexed="64"/>
      </bottom>
      <diagonal/>
    </border>
    <border>
      <left style="thin">
        <color rgb="FFFFFFFF"/>
      </left>
      <right style="thin">
        <color rgb="FFFFFFFF"/>
      </right>
      <top/>
      <bottom style="thin">
        <color indexed="64"/>
      </bottom>
      <diagonal/>
    </border>
    <border>
      <left/>
      <right style="thin">
        <color rgb="FFFFFFFF"/>
      </right>
      <top/>
      <bottom style="thin">
        <color indexed="64"/>
      </bottom>
      <diagonal/>
    </border>
    <border>
      <left/>
      <right style="thin">
        <color rgb="FFFFFFFF"/>
      </right>
      <top/>
      <bottom/>
      <diagonal/>
    </border>
    <border>
      <left style="thin">
        <color rgb="FFFFFFFF"/>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right style="thin">
        <color rgb="FFFFFFFF"/>
      </right>
      <top style="thin">
        <color rgb="FFFFFFFF"/>
      </top>
      <bottom style="thin">
        <color rgb="FFFFFFFF"/>
      </bottom>
      <diagonal/>
    </border>
    <border>
      <left/>
      <right/>
      <top style="thin">
        <color rgb="FFFFFFFF"/>
      </top>
      <bottom style="thin">
        <color rgb="FFFFFFFF"/>
      </bottom>
      <diagonal/>
    </border>
    <border>
      <left style="thin">
        <color rgb="FFFFFFFF"/>
      </left>
      <right style="thin">
        <color indexed="64"/>
      </right>
      <top style="thin">
        <color rgb="FFFFFFFF"/>
      </top>
      <bottom/>
      <diagonal/>
    </border>
    <border>
      <left style="thin">
        <color indexed="64"/>
      </left>
      <right style="thin">
        <color indexed="64"/>
      </right>
      <top/>
      <bottom style="thin">
        <color indexed="64"/>
      </bottom>
      <diagonal/>
    </border>
    <border>
      <left/>
      <right/>
      <top style="thin">
        <color indexed="64"/>
      </top>
      <bottom style="thin">
        <color rgb="FF000000"/>
      </bottom>
      <diagonal/>
    </border>
    <border>
      <left style="thin">
        <color rgb="FF000000"/>
      </left>
      <right style="thin">
        <color rgb="FF000000"/>
      </right>
      <top style="thin">
        <color rgb="FF000000"/>
      </top>
      <bottom/>
      <diagonal/>
    </border>
    <border>
      <left/>
      <right style="thin">
        <color rgb="FFFFFFFF"/>
      </right>
      <top style="thin">
        <color rgb="FFFFFFFF"/>
      </top>
      <bottom style="thin">
        <color rgb="FF000000"/>
      </bottom>
      <diagonal/>
    </border>
    <border>
      <left style="thin">
        <color rgb="FFFFFFFF"/>
      </left>
      <right style="thin">
        <color rgb="FFFFFFFF"/>
      </right>
      <top style="thin">
        <color rgb="FFFFFFFF"/>
      </top>
      <bottom style="thin">
        <color rgb="FF000000"/>
      </bottom>
      <diagonal/>
    </border>
    <border>
      <left style="thin">
        <color rgb="FFFFFFFF"/>
      </left>
      <right style="thin">
        <color rgb="FF000000"/>
      </right>
      <top style="thin">
        <color rgb="FFFFFFFF"/>
      </top>
      <bottom style="thin">
        <color rgb="FF000000"/>
      </bottom>
      <diagonal/>
    </border>
    <border>
      <left style="thin">
        <color rgb="FFFFFFFF"/>
      </left>
      <right style="thin">
        <color rgb="FF000000"/>
      </right>
      <top style="thin">
        <color rgb="FFFFFFFF"/>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thin">
        <color indexed="64"/>
      </top>
      <bottom/>
      <diagonal/>
    </border>
    <border>
      <left style="thin">
        <color rgb="FF000000"/>
      </left>
      <right style="thin">
        <color rgb="FFFFFFFF"/>
      </right>
      <top/>
      <bottom/>
      <diagonal/>
    </border>
    <border>
      <left style="thin">
        <color rgb="FF000000"/>
      </left>
      <right style="thin">
        <color rgb="FFFFFFFF"/>
      </right>
      <top/>
      <bottom style="thin">
        <color rgb="FF000000"/>
      </bottom>
      <diagonal/>
    </border>
    <border>
      <left style="thin">
        <color rgb="FFFFFFFF"/>
      </left>
      <right style="thin">
        <color rgb="FFFFFFFF"/>
      </right>
      <top/>
      <bottom style="thin">
        <color rgb="FF000000"/>
      </bottom>
      <diagonal/>
    </border>
    <border>
      <left/>
      <right style="thin">
        <color rgb="FFFFFFFF"/>
      </right>
      <top/>
      <bottom style="thin">
        <color rgb="FF000000"/>
      </bottom>
      <diagonal/>
    </border>
    <border>
      <left style="thin">
        <color rgb="FFFFFFFF"/>
      </left>
      <right style="thin">
        <color rgb="FFFFFFFF"/>
      </right>
      <top/>
      <bottom style="thin">
        <color rgb="FFFFFFFF"/>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s>
  <cellStyleXfs count="5">
    <xf numFmtId="0" fontId="0" fillId="0" borderId="0">
      <alignment vertical="center"/>
    </xf>
    <xf numFmtId="9" fontId="12" fillId="0" borderId="0">
      <alignment vertical="top"/>
      <protection locked="0" hidden="0"/>
    </xf>
    <xf numFmtId="0" fontId="13" fillId="0" borderId="0">
      <alignment vertical="bottom"/>
      <protection locked="0" hidden="0"/>
    </xf>
    <xf numFmtId="43" fontId="14" fillId="0" borderId="0">
      <alignment vertical="top"/>
      <protection locked="0" hidden="0"/>
    </xf>
    <xf numFmtId="0" fontId="15" fillId="0" borderId="0">
      <alignment vertical="bottom"/>
      <protection locked="0" hidden="0"/>
    </xf>
  </cellStyleXfs>
  <cellXfs count="271">
    <xf numFmtId="0" fontId="0" fillId="0" borderId="0" xfId="0">
      <alignment vertical="center"/>
    </xf>
    <xf numFmtId="0" fontId="1" fillId="0" borderId="0" xfId="0" applyFont="1">
      <alignment vertical="center"/>
    </xf>
    <xf numFmtId="0" fontId="1" fillId="0" borderId="0" xfId="0" applyFont="1" applyAlignment="1">
      <alignment vertical="center" wrapText="1"/>
    </xf>
    <xf numFmtId="164" fontId="2" fillId="2" borderId="1" xfId="0" applyNumberFormat="1"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164" fontId="2" fillId="2" borderId="3" xfId="0" applyNumberFormat="1"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164" fontId="3" fillId="2" borderId="6"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164" fontId="3" fillId="2" borderId="12" xfId="0" applyNumberFormat="1" applyFont="1" applyFill="1" applyBorder="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4" fillId="0" borderId="15" xfId="0" applyFont="1" applyBorder="1" applyAlignment="1">
      <alignment horizontal="center" vertical="center"/>
    </xf>
    <xf numFmtId="0" fontId="1" fillId="3" borderId="16" xfId="0" applyFont="1" applyFill="1" applyBorder="1" applyAlignment="1">
      <alignment horizontal="center" vertical="center"/>
    </xf>
    <xf numFmtId="0" fontId="4" fillId="3" borderId="15" xfId="0" applyFont="1" applyFill="1" applyBorder="1" applyAlignment="1">
      <alignment horizontal="center" vertical="center"/>
    </xf>
    <xf numFmtId="1" fontId="4" fillId="3" borderId="15" xfId="0" applyNumberFormat="1" applyFont="1" applyFill="1" applyBorder="1" applyAlignment="1">
      <alignment horizontal="center" vertical="center"/>
    </xf>
    <xf numFmtId="9" fontId="4" fillId="3" borderId="15" xfId="1" applyFont="1" applyFill="1" applyBorder="1" applyAlignment="1">
      <alignment horizontal="center" vertical="center"/>
    </xf>
    <xf numFmtId="1" fontId="4" fillId="3" borderId="15" xfId="0" applyNumberFormat="1" applyFont="1" applyFill="1" applyBorder="1" applyAlignment="1">
      <alignment horizontal="center" vertical="center" wrapText="1"/>
    </xf>
    <xf numFmtId="174" fontId="1" fillId="3" borderId="15" xfId="0" applyNumberFormat="1" applyFont="1" applyFill="1" applyBorder="1" applyAlignment="1">
      <alignment horizontal="center" vertical="center"/>
    </xf>
    <xf numFmtId="174" fontId="1" fillId="3" borderId="15" xfId="0" applyNumberFormat="1" applyFont="1" applyFill="1" applyBorder="1">
      <alignment vertical="center"/>
    </xf>
    <xf numFmtId="166" fontId="4" fillId="3" borderId="15" xfId="1" applyNumberFormat="1" applyFont="1" applyFill="1" applyBorder="1" applyAlignment="1">
      <alignment horizontal="center" vertical="center"/>
    </xf>
    <xf numFmtId="0" fontId="4" fillId="0" borderId="15" xfId="0" applyFont="1" applyBorder="1" applyAlignment="1">
      <alignment horizontal="center" vertical="center" wrapText="1"/>
    </xf>
    <xf numFmtId="0" fontId="4" fillId="3" borderId="16" xfId="0" applyFont="1" applyFill="1" applyBorder="1" applyAlignment="1">
      <alignment horizontal="center" vertical="center"/>
    </xf>
    <xf numFmtId="0" fontId="4" fillId="3" borderId="15" xfId="0" applyFont="1" applyFill="1" applyBorder="1" applyAlignment="1">
      <alignment horizontal="left" vertical="center" wrapText="1"/>
    </xf>
    <xf numFmtId="0" fontId="5" fillId="0" borderId="15" xfId="0" applyBorder="1" applyAlignment="1">
      <alignment horizontal="center" vertical="center" wrapText="1"/>
    </xf>
    <xf numFmtId="0" fontId="1" fillId="3" borderId="15" xfId="0" applyFont="1" applyFill="1" applyBorder="1" applyAlignment="1">
      <alignment vertical="center" wrapText="1"/>
    </xf>
    <xf numFmtId="0" fontId="1" fillId="3" borderId="0" xfId="0" applyFont="1" applyFill="1" applyAlignment="1">
      <alignment horizontal="center" vertical="center"/>
    </xf>
    <xf numFmtId="9" fontId="4" fillId="3" borderId="15" xfId="0" applyNumberFormat="1" applyFont="1" applyFill="1" applyBorder="1" applyAlignment="1">
      <alignment horizontal="center" vertical="center"/>
    </xf>
    <xf numFmtId="0" fontId="4" fillId="3" borderId="0" xfId="0" applyFont="1" applyFill="1" applyAlignment="1">
      <alignment horizontal="center" vertical="center"/>
    </xf>
    <xf numFmtId="9" fontId="4" fillId="3" borderId="0" xfId="0" applyNumberFormat="1" applyFont="1" applyFill="1" applyAlignment="1">
      <alignment horizontal="center" vertical="center"/>
    </xf>
    <xf numFmtId="1" fontId="4" fillId="3" borderId="15" xfId="0" applyNumberFormat="1" applyFont="1" applyFill="1" applyBorder="1" applyAlignment="1">
      <alignment horizontal="left" vertical="center" wrapText="1"/>
    </xf>
    <xf numFmtId="166" fontId="4" fillId="3" borderId="15" xfId="0" applyNumberFormat="1" applyFont="1" applyFill="1" applyBorder="1" applyAlignment="1">
      <alignment horizontal="center" vertical="center"/>
    </xf>
    <xf numFmtId="0" fontId="1" fillId="0" borderId="15" xfId="0" applyFont="1" applyBorder="1" applyAlignment="1">
      <alignment horizontal="center" vertical="center"/>
    </xf>
    <xf numFmtId="164" fontId="4" fillId="3" borderId="15" xfId="0" applyNumberFormat="1" applyFont="1" applyFill="1" applyBorder="1" applyAlignment="1">
      <alignment horizontal="center" vertical="center"/>
    </xf>
    <xf numFmtId="0" fontId="4" fillId="3" borderId="16" xfId="0" applyFont="1" applyFill="1" applyBorder="1" applyAlignment="1">
      <alignment horizontal="center" vertical="center" wrapText="1"/>
    </xf>
    <xf numFmtId="0" fontId="1" fillId="0" borderId="17" xfId="0" applyFont="1" applyBorder="1" applyAlignment="1">
      <alignment horizontal="center" vertical="center"/>
    </xf>
    <xf numFmtId="164" fontId="2" fillId="2" borderId="18"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164" fontId="3" fillId="2" borderId="23" xfId="0" applyNumberFormat="1" applyFont="1" applyFill="1" applyBorder="1" applyAlignment="1">
      <alignment horizontal="center" vertical="center" wrapText="1"/>
    </xf>
    <xf numFmtId="164" fontId="3" fillId="2" borderId="24" xfId="0" applyNumberFormat="1"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12" xfId="0" applyFont="1" applyFill="1" applyBorder="1" applyAlignment="1">
      <alignment horizontal="center" vertical="center"/>
    </xf>
    <xf numFmtId="0" fontId="1" fillId="3" borderId="15" xfId="2" applyFont="1" applyFill="1" applyBorder="1" applyAlignment="1">
      <alignment horizontal="center" vertical="center"/>
    </xf>
    <xf numFmtId="171" fontId="4" fillId="3" borderId="15" xfId="2" applyNumberFormat="1" applyFont="1" applyFill="1" applyBorder="1" applyAlignment="1">
      <alignment horizontal="center" vertical="center"/>
    </xf>
    <xf numFmtId="2" fontId="4" fillId="3" borderId="15" xfId="2" applyNumberFormat="1" applyFont="1" applyFill="1" applyBorder="1" applyAlignment="1">
      <alignment horizontal="center" vertical="center"/>
    </xf>
    <xf numFmtId="9" fontId="4" fillId="3" borderId="15" xfId="2" applyNumberFormat="1" applyFont="1" applyFill="1" applyBorder="1" applyAlignment="1">
      <alignment horizontal="center" vertical="center"/>
    </xf>
    <xf numFmtId="0" fontId="4" fillId="3" borderId="15" xfId="2" applyFont="1" applyFill="1" applyBorder="1" applyAlignment="1">
      <alignment horizontal="left" vertical="center" wrapText="1"/>
    </xf>
    <xf numFmtId="0" fontId="4" fillId="3" borderId="15" xfId="0" applyFont="1" applyFill="1" applyBorder="1" applyAlignment="1">
      <alignment horizontal="center" vertical="center"/>
    </xf>
    <xf numFmtId="0" fontId="1" fillId="3" borderId="27" xfId="0" applyFont="1" applyFill="1" applyBorder="1" applyAlignment="1">
      <alignment horizontal="center" vertical="center"/>
    </xf>
    <xf numFmtId="9" fontId="4" fillId="3" borderId="15" xfId="2" applyNumberFormat="1" applyFont="1" applyFill="1" applyBorder="1" applyAlignment="1">
      <alignment horizontal="left" vertical="center" wrapText="1"/>
    </xf>
    <xf numFmtId="0" fontId="1" fillId="3" borderId="15" xfId="0" applyFont="1" applyFill="1" applyBorder="1" applyAlignment="1">
      <alignment horizontal="center" vertical="center"/>
    </xf>
    <xf numFmtId="0" fontId="4" fillId="0" borderId="28" xfId="0" applyFont="1" applyBorder="1" applyAlignment="1">
      <alignment horizontal="center" vertical="center"/>
    </xf>
    <xf numFmtId="164" fontId="2" fillId="4" borderId="29" xfId="0" applyNumberFormat="1" applyFont="1" applyFill="1" applyBorder="1" applyAlignment="1">
      <alignment horizontal="center" vertical="center" wrapText="1"/>
    </xf>
    <xf numFmtId="0" fontId="6" fillId="0" borderId="29" xfId="0" applyFont="1" applyBorder="1">
      <alignment vertical="center"/>
    </xf>
    <xf numFmtId="0" fontId="3" fillId="4" borderId="30" xfId="0" applyFont="1" applyFill="1" applyBorder="1" applyAlignment="1">
      <alignment horizontal="center" vertical="center"/>
    </xf>
    <xf numFmtId="0" fontId="3" fillId="4" borderId="31" xfId="0" applyFont="1" applyFill="1" applyBorder="1" applyAlignment="1">
      <alignment horizontal="center" vertical="center"/>
    </xf>
    <xf numFmtId="164" fontId="3" fillId="4" borderId="24" xfId="0" applyNumberFormat="1" applyFont="1" applyFill="1" applyBorder="1" applyAlignment="1">
      <alignment horizontal="center" vertical="center" wrapText="1"/>
    </xf>
    <xf numFmtId="0" fontId="1" fillId="0" borderId="24" xfId="0" applyFont="1" applyBorder="1">
      <alignment vertical="center"/>
    </xf>
    <xf numFmtId="0" fontId="3" fillId="4" borderId="24"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1" fillId="0" borderId="25" xfId="0" applyFont="1" applyBorder="1">
      <alignment vertical="center"/>
    </xf>
    <xf numFmtId="0" fontId="3" fillId="4" borderId="31" xfId="0" applyFont="1" applyFill="1" applyBorder="1" applyAlignment="1">
      <alignment horizontal="center" vertical="center" wrapText="1"/>
    </xf>
    <xf numFmtId="0" fontId="3" fillId="4" borderId="32" xfId="0" applyFont="1" applyFill="1" applyBorder="1" applyAlignment="1">
      <alignment horizontal="center" vertical="center" wrapText="1"/>
    </xf>
    <xf numFmtId="0" fontId="1" fillId="0" borderId="21" xfId="0" applyFont="1" applyBorder="1">
      <alignment vertical="center"/>
    </xf>
    <xf numFmtId="0" fontId="1" fillId="0" borderId="22" xfId="0" applyFont="1" applyBorder="1">
      <alignment vertical="center"/>
    </xf>
    <xf numFmtId="164" fontId="3" fillId="4" borderId="13" xfId="0" applyNumberFormat="1" applyFont="1" applyFill="1" applyBorder="1" applyAlignment="1">
      <alignment horizontal="center" vertical="center"/>
    </xf>
    <xf numFmtId="0" fontId="3" fillId="4" borderId="13" xfId="0" applyFont="1" applyFill="1" applyBorder="1" applyAlignment="1">
      <alignment horizontal="center" vertical="center"/>
    </xf>
    <xf numFmtId="0" fontId="1" fillId="0" borderId="33" xfId="0" applyFont="1" applyBorder="1">
      <alignment vertical="center"/>
    </xf>
    <xf numFmtId="0" fontId="7" fillId="5" borderId="34" xfId="0" applyFont="1" applyFill="1" applyBorder="1" applyAlignment="1">
      <alignment horizontal="center" vertical="center"/>
    </xf>
    <xf numFmtId="0" fontId="7" fillId="3" borderId="34" xfId="0" applyFont="1" applyFill="1" applyBorder="1" applyAlignment="1">
      <alignment horizontal="center" vertical="center"/>
    </xf>
    <xf numFmtId="3" fontId="7" fillId="3" borderId="34" xfId="0" applyNumberFormat="1" applyFont="1" applyFill="1" applyBorder="1" applyAlignment="1">
      <alignment horizontal="center" vertical="center"/>
    </xf>
    <xf numFmtId="9" fontId="7" fillId="3" borderId="34" xfId="0" applyNumberFormat="1" applyFont="1" applyFill="1" applyBorder="1" applyAlignment="1">
      <alignment horizontal="center" vertical="center"/>
    </xf>
    <xf numFmtId="0" fontId="1" fillId="3" borderId="0" xfId="0" applyFont="1" applyFill="1">
      <alignment vertical="center"/>
    </xf>
    <xf numFmtId="10" fontId="7" fillId="3" borderId="34" xfId="0" applyNumberFormat="1" applyFont="1" applyFill="1" applyBorder="1" applyAlignment="1">
      <alignment horizontal="center" vertical="center"/>
    </xf>
    <xf numFmtId="0" fontId="1" fillId="3" borderId="34" xfId="0" applyFont="1" applyFill="1" applyBorder="1">
      <alignment vertical="center"/>
    </xf>
    <xf numFmtId="0" fontId="7" fillId="6" borderId="34" xfId="0" applyFont="1" applyFill="1" applyBorder="1" applyAlignment="1">
      <alignment horizontal="center" vertical="center"/>
    </xf>
    <xf numFmtId="0" fontId="7" fillId="5" borderId="34" xfId="0" applyFont="1" applyFill="1" applyBorder="1" applyAlignment="1">
      <alignment horizontal="center" vertical="center"/>
    </xf>
    <xf numFmtId="170" fontId="7" fillId="6" borderId="34" xfId="0" applyNumberFormat="1" applyFont="1" applyFill="1" applyBorder="1" applyAlignment="1">
      <alignment horizontal="center" vertical="center"/>
    </xf>
    <xf numFmtId="0" fontId="7" fillId="3" borderId="35" xfId="0" applyFont="1" applyFill="1" applyBorder="1" applyAlignment="1">
      <alignment horizontal="center" vertical="center"/>
    </xf>
    <xf numFmtId="0" fontId="7" fillId="3" borderId="36" xfId="0" applyFont="1" applyFill="1" applyBorder="1" applyAlignment="1">
      <alignment horizontal="center" vertical="center"/>
    </xf>
    <xf numFmtId="3" fontId="7" fillId="3" borderId="29" xfId="0" applyNumberFormat="1" applyFont="1" applyFill="1" applyBorder="1" applyAlignment="1">
      <alignment horizontal="center" vertical="center"/>
    </xf>
    <xf numFmtId="0" fontId="7" fillId="3" borderId="29" xfId="0" applyFont="1" applyFill="1" applyBorder="1">
      <alignment vertical="center"/>
    </xf>
    <xf numFmtId="4" fontId="7" fillId="3" borderId="29" xfId="0" applyNumberFormat="1" applyFont="1" applyFill="1" applyBorder="1" applyAlignment="1">
      <alignment horizontal="right" vertical="center"/>
    </xf>
    <xf numFmtId="9" fontId="7" fillId="3" borderId="29" xfId="0" applyNumberFormat="1" applyFont="1" applyFill="1" applyBorder="1" applyAlignment="1">
      <alignment horizontal="center" vertical="center"/>
    </xf>
    <xf numFmtId="0" fontId="7" fillId="3" borderId="29" xfId="0" applyFont="1" applyFill="1" applyBorder="1" applyAlignment="1">
      <alignment horizontal="center" vertical="center"/>
    </xf>
    <xf numFmtId="9" fontId="4" fillId="3" borderId="37" xfId="2" applyNumberFormat="1" applyFont="1" applyFill="1" applyBorder="1" applyAlignment="1">
      <alignment horizontal="center" vertical="center"/>
    </xf>
    <xf numFmtId="9" fontId="4" fillId="3" borderId="37" xfId="2" applyNumberFormat="1" applyFont="1" applyFill="1" applyBorder="1" applyAlignment="1">
      <alignment horizontal="left" vertical="center" wrapText="1"/>
    </xf>
    <xf numFmtId="0" fontId="4" fillId="0" borderId="17" xfId="0" applyFont="1" applyBorder="1" applyAlignment="1">
      <alignment horizontal="center" vertical="center"/>
    </xf>
    <xf numFmtId="0" fontId="4" fillId="0" borderId="0" xfId="0" applyFont="1" applyAlignment="1">
      <alignment horizontal="center" vertical="center"/>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164" fontId="3" fillId="2" borderId="23" xfId="0" applyNumberFormat="1" applyFont="1" applyFill="1" applyBorder="1" applyAlignment="1">
      <alignment horizontal="center" vertical="center" wrapText="1"/>
    </xf>
    <xf numFmtId="164" fontId="3" fillId="2" borderId="24" xfId="0" applyNumberFormat="1"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4" fillId="0" borderId="15" xfId="2" applyFont="1" applyBorder="1" applyAlignment="1">
      <alignment horizontal="center" vertical="center"/>
    </xf>
    <xf numFmtId="165" fontId="4" fillId="0" borderId="15" xfId="2" applyNumberFormat="1" applyFont="1" applyBorder="1" applyAlignment="1">
      <alignment horizontal="center" vertical="center"/>
    </xf>
    <xf numFmtId="165" fontId="4" fillId="3" borderId="15" xfId="2" applyNumberFormat="1" applyFont="1" applyFill="1" applyBorder="1" applyAlignment="1">
      <alignment horizontal="center" vertical="center"/>
    </xf>
    <xf numFmtId="9" fontId="4" fillId="0" borderId="15" xfId="2" applyNumberFormat="1" applyFont="1" applyBorder="1" applyAlignment="1">
      <alignment horizontal="center" vertical="center"/>
    </xf>
    <xf numFmtId="9" fontId="4" fillId="3" borderId="15" xfId="2" applyNumberFormat="1" applyFont="1" applyFill="1" applyBorder="1" applyAlignment="1">
      <alignment horizontal="center" vertical="center"/>
    </xf>
    <xf numFmtId="168" fontId="4" fillId="0" borderId="15" xfId="2" applyNumberFormat="1" applyFont="1" applyBorder="1" applyAlignment="1">
      <alignment horizontal="center" vertical="center"/>
    </xf>
    <xf numFmtId="0" fontId="4" fillId="0" borderId="15" xfId="2" applyFont="1" applyBorder="1" applyAlignment="1">
      <alignment horizontal="left" vertical="center" wrapText="1"/>
    </xf>
    <xf numFmtId="0" fontId="4" fillId="3" borderId="15" xfId="2" applyFont="1" applyFill="1" applyBorder="1" applyAlignment="1">
      <alignment horizontal="center" vertical="center"/>
    </xf>
    <xf numFmtId="165" fontId="4" fillId="3" borderId="15" xfId="2" applyNumberFormat="1" applyFont="1" applyFill="1" applyBorder="1" applyAlignment="1">
      <alignment horizontal="center" vertical="center"/>
    </xf>
    <xf numFmtId="1" fontId="4" fillId="3" borderId="15" xfId="2" applyNumberFormat="1" applyFont="1" applyFill="1" applyBorder="1" applyAlignment="1">
      <alignment horizontal="center" vertical="center"/>
    </xf>
    <xf numFmtId="9" fontId="4" fillId="3" borderId="15" xfId="2" applyNumberFormat="1" applyFont="1" applyFill="1" applyBorder="1" applyAlignment="1">
      <alignment horizontal="center" vertical="center"/>
    </xf>
    <xf numFmtId="0" fontId="4" fillId="3" borderId="15" xfId="2" applyFont="1" applyFill="1" applyBorder="1" applyAlignment="1">
      <alignment horizontal="left" vertical="center" wrapText="1"/>
    </xf>
    <xf numFmtId="0" fontId="4" fillId="0" borderId="15" xfId="0" applyFont="1" applyBorder="1" applyAlignment="1">
      <alignment horizontal="center" vertical="center"/>
    </xf>
    <xf numFmtId="1" fontId="3" fillId="2" borderId="12" xfId="0" applyNumberFormat="1" applyFont="1" applyFill="1" applyBorder="1" applyAlignment="1">
      <alignment horizontal="center" vertical="center"/>
    </xf>
    <xf numFmtId="169" fontId="4" fillId="3" borderId="15" xfId="3" applyNumberFormat="1" applyFont="1" applyFill="1" applyBorder="1" applyAlignment="1">
      <alignment horizontal="center" vertical="center"/>
    </xf>
    <xf numFmtId="0" fontId="4" fillId="3" borderId="15" xfId="3" applyNumberFormat="1" applyFont="1" applyFill="1" applyBorder="1" applyAlignment="1">
      <alignment horizontal="center" vertical="center"/>
    </xf>
    <xf numFmtId="1" fontId="4" fillId="3" borderId="15" xfId="3" applyNumberFormat="1" applyFont="1" applyFill="1" applyBorder="1" applyAlignment="1">
      <alignment horizontal="center" vertical="center"/>
    </xf>
    <xf numFmtId="0" fontId="4" fillId="3" borderId="27" xfId="0" applyFont="1" applyFill="1" applyBorder="1" applyAlignment="1">
      <alignment horizontal="left" vertical="center" wrapText="1"/>
    </xf>
    <xf numFmtId="165" fontId="4" fillId="3" borderId="15" xfId="2" applyNumberFormat="1" applyFont="1" applyFill="1" applyBorder="1" applyAlignment="1">
      <alignment horizontal="center" vertical="center"/>
    </xf>
    <xf numFmtId="169" fontId="8" fillId="3" borderId="15" xfId="3" applyNumberFormat="1" applyFont="1" applyFill="1" applyBorder="1" applyAlignment="1">
      <alignment horizontal="center" vertical="center"/>
    </xf>
    <xf numFmtId="0" fontId="4" fillId="3" borderId="15" xfId="2" applyFont="1" applyFill="1" applyBorder="1" applyAlignment="1">
      <alignment horizontal="center" vertical="center"/>
    </xf>
    <xf numFmtId="169" fontId="4" fillId="3" borderId="15" xfId="2" applyNumberFormat="1" applyFont="1" applyFill="1" applyBorder="1" applyAlignment="1">
      <alignment horizontal="center" vertical="center"/>
    </xf>
    <xf numFmtId="1" fontId="4" fillId="3" borderId="15" xfId="2" applyNumberFormat="1" applyFont="1" applyFill="1"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164" fontId="3" fillId="2" borderId="41" xfId="0" applyNumberFormat="1" applyFont="1" applyFill="1" applyBorder="1" applyAlignment="1">
      <alignment horizontal="center" vertical="center"/>
    </xf>
    <xf numFmtId="0" fontId="3" fillId="2" borderId="41" xfId="0" applyFont="1" applyFill="1" applyBorder="1" applyAlignment="1">
      <alignment horizontal="center" vertical="center"/>
    </xf>
    <xf numFmtId="0" fontId="3" fillId="2" borderId="4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4" fillId="0" borderId="29" xfId="0" applyFont="1" applyBorder="1" applyAlignment="1">
      <alignment horizontal="center" vertical="center"/>
    </xf>
    <xf numFmtId="0" fontId="4" fillId="7" borderId="43" xfId="0" applyFont="1" applyFill="1" applyBorder="1" applyAlignment="1">
      <alignment horizontal="center" vertical="center"/>
    </xf>
    <xf numFmtId="175" fontId="4" fillId="7" borderId="43" xfId="0" applyNumberFormat="1" applyFont="1" applyFill="1" applyBorder="1" applyAlignment="1">
      <alignment horizontal="center" vertical="center"/>
    </xf>
    <xf numFmtId="9" fontId="4" fillId="7" borderId="43" xfId="0" applyNumberFormat="1" applyFont="1" applyFill="1" applyBorder="1" applyAlignment="1">
      <alignment horizontal="center" vertical="center"/>
    </xf>
    <xf numFmtId="0" fontId="4" fillId="7" borderId="43" xfId="0" applyFont="1" applyFill="1" applyBorder="1" applyAlignment="1">
      <alignment horizontal="left" vertical="center" wrapText="1"/>
    </xf>
    <xf numFmtId="0" fontId="4" fillId="0" borderId="44" xfId="0" applyFont="1" applyBorder="1" applyAlignment="1">
      <alignment horizontal="center" vertical="center"/>
    </xf>
    <xf numFmtId="176" fontId="4" fillId="7" borderId="43" xfId="0" applyNumberFormat="1" applyFont="1" applyFill="1" applyBorder="1" applyAlignment="1">
      <alignment horizontal="center" vertical="center"/>
    </xf>
    <xf numFmtId="0" fontId="4" fillId="0" borderId="45" xfId="0" applyFont="1" applyBorder="1" applyAlignment="1">
      <alignment horizontal="center" vertical="center"/>
    </xf>
    <xf numFmtId="177" fontId="4" fillId="7" borderId="43" xfId="0" applyNumberFormat="1" applyFont="1" applyFill="1" applyBorder="1" applyAlignment="1">
      <alignment horizontal="center" vertical="center"/>
    </xf>
    <xf numFmtId="166" fontId="4" fillId="7" borderId="43" xfId="0" applyNumberFormat="1" applyFont="1" applyFill="1" applyBorder="1" applyAlignment="1">
      <alignment horizontal="center" vertical="center"/>
    </xf>
    <xf numFmtId="177" fontId="4" fillId="7" borderId="43" xfId="0" applyNumberFormat="1" applyFont="1" applyFill="1" applyBorder="1" applyAlignment="1">
      <alignment horizontal="center" vertical="center" wrapText="1"/>
    </xf>
    <xf numFmtId="166" fontId="4" fillId="7" borderId="43" xfId="0" applyNumberFormat="1" applyFont="1" applyFill="1" applyBorder="1" applyAlignment="1">
      <alignment horizontal="center" vertical="center" wrapText="1"/>
    </xf>
    <xf numFmtId="0" fontId="4" fillId="0" borderId="29" xfId="0" applyFont="1" applyBorder="1" applyAlignment="1">
      <alignment horizontal="center" vertical="center" wrapText="1"/>
    </xf>
    <xf numFmtId="177" fontId="4" fillId="7" borderId="43" xfId="0" applyNumberFormat="1" applyFont="1" applyFill="1" applyBorder="1" applyAlignment="1">
      <alignment horizontal="left" vertical="center"/>
    </xf>
    <xf numFmtId="0" fontId="4" fillId="0" borderId="45" xfId="0" applyFont="1" applyBorder="1" applyAlignment="1">
      <alignment horizontal="center" vertical="center" wrapText="1"/>
    </xf>
    <xf numFmtId="1" fontId="4" fillId="7" borderId="43" xfId="0" applyNumberFormat="1" applyFont="1" applyFill="1" applyBorder="1" applyAlignment="1">
      <alignment horizontal="center" vertical="center"/>
    </xf>
    <xf numFmtId="0" fontId="4" fillId="7" borderId="43" xfId="0" applyFont="1" applyFill="1" applyBorder="1" applyAlignment="1">
      <alignment horizontal="left" vertical="center"/>
    </xf>
    <xf numFmtId="0" fontId="4" fillId="0" borderId="34" xfId="0" applyFont="1" applyBorder="1" applyAlignment="1">
      <alignment horizontal="center" vertical="center"/>
    </xf>
    <xf numFmtId="0" fontId="4" fillId="7" borderId="34" xfId="0" applyFont="1" applyFill="1" applyBorder="1" applyAlignment="1">
      <alignment horizontal="center" vertical="center"/>
    </xf>
    <xf numFmtId="175" fontId="4" fillId="7" borderId="34" xfId="0" applyNumberFormat="1" applyFont="1" applyFill="1" applyBorder="1" applyAlignment="1">
      <alignment horizontal="center" vertical="center"/>
    </xf>
    <xf numFmtId="9" fontId="4" fillId="7" borderId="34" xfId="0" applyNumberFormat="1" applyFont="1" applyFill="1" applyBorder="1" applyAlignment="1">
      <alignment horizontal="center" vertical="center"/>
    </xf>
    <xf numFmtId="0" fontId="4" fillId="7" borderId="34" xfId="0" applyFont="1" applyFill="1" applyBorder="1" applyAlignment="1">
      <alignment horizontal="left" vertical="center" wrapText="1"/>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3" borderId="27" xfId="0" applyFont="1" applyFill="1" applyBorder="1" applyAlignment="1">
      <alignment horizontal="center" vertical="center" wrapText="1"/>
    </xf>
    <xf numFmtId="1" fontId="4" fillId="3" borderId="27" xfId="0" applyNumberFormat="1" applyFont="1" applyFill="1" applyBorder="1" applyAlignment="1">
      <alignment horizontal="center" vertical="center" wrapText="1"/>
    </xf>
    <xf numFmtId="9" fontId="4" fillId="3" borderId="27" xfId="0" applyNumberFormat="1" applyFont="1" applyFill="1" applyBorder="1" applyAlignment="1">
      <alignment horizontal="center" vertical="center" wrapText="1"/>
    </xf>
    <xf numFmtId="0" fontId="4" fillId="3" borderId="27" xfId="0" applyFont="1" applyFill="1" applyBorder="1" applyAlignment="1" quotePrefix="1">
      <alignment horizontal="center" vertical="center" wrapText="1"/>
    </xf>
    <xf numFmtId="9" fontId="4" fillId="3" borderId="27" xfId="0" applyNumberFormat="1" applyFont="1" applyFill="1" applyBorder="1" applyAlignment="1">
      <alignment horizontal="center" vertical="center"/>
    </xf>
    <xf numFmtId="0" fontId="4" fillId="3" borderId="15" xfId="0" applyFont="1" applyFill="1" applyBorder="1" applyAlignment="1">
      <alignment horizontal="center" vertical="center" wrapText="1"/>
    </xf>
    <xf numFmtId="9" fontId="4" fillId="3" borderId="15" xfId="0" applyNumberFormat="1" applyFont="1" applyFill="1" applyBorder="1" applyAlignment="1">
      <alignment horizontal="center" vertical="center" wrapText="1"/>
    </xf>
    <xf numFmtId="0" fontId="4" fillId="3" borderId="15" xfId="0" applyFont="1" applyFill="1" applyBorder="1" applyAlignment="1" quotePrefix="1">
      <alignment horizontal="center" vertical="center" wrapText="1"/>
    </xf>
    <xf numFmtId="165" fontId="4" fillId="3" borderId="15" xfId="0" applyNumberFormat="1" applyFont="1" applyFill="1" applyBorder="1" applyAlignment="1">
      <alignment horizontal="center" vertical="center" wrapText="1"/>
    </xf>
    <xf numFmtId="9" fontId="4" fillId="3" borderId="15" xfId="1" applyFont="1" applyFill="1" applyBorder="1" applyAlignment="1">
      <alignment horizontal="center" vertical="center" wrapText="1"/>
    </xf>
    <xf numFmtId="9" fontId="1" fillId="3" borderId="19" xfId="1" applyFont="1" applyFill="1" applyBorder="1" applyAlignment="1">
      <alignment horizontal="left" vertical="center" wrapText="1"/>
    </xf>
    <xf numFmtId="9" fontId="1" fillId="3" borderId="19" xfId="1" applyFont="1" applyFill="1" applyBorder="1" applyAlignment="1">
      <alignment horizontal="center" vertical="center" wrapText="1"/>
    </xf>
    <xf numFmtId="0" fontId="1" fillId="3" borderId="0" xfId="0" applyFont="1" applyFill="1" applyAlignment="1">
      <alignment vertical="center" wrapText="1"/>
    </xf>
    <xf numFmtId="165" fontId="4" fillId="3" borderId="15" xfId="2" applyNumberFormat="1" applyFont="1" applyFill="1" applyBorder="1" applyAlignment="1">
      <alignment horizontal="center" vertical="center" wrapText="1"/>
    </xf>
    <xf numFmtId="1" fontId="4" fillId="3" borderId="15" xfId="2" applyNumberFormat="1" applyFont="1" applyFill="1" applyBorder="1" applyAlignment="1">
      <alignment horizontal="center" vertical="center" wrapText="1"/>
    </xf>
    <xf numFmtId="9" fontId="4" fillId="3" borderId="15" xfId="2" applyNumberFormat="1" applyFont="1" applyFill="1" applyBorder="1" applyAlignment="1">
      <alignment horizontal="center" vertical="center" wrapText="1"/>
    </xf>
    <xf numFmtId="0" fontId="4" fillId="3" borderId="15" xfId="2" applyFont="1" applyFill="1" applyBorder="1" applyAlignment="1">
      <alignment horizontal="center" vertical="center" wrapText="1"/>
    </xf>
    <xf numFmtId="0" fontId="4" fillId="3" borderId="37" xfId="0" applyFont="1" applyFill="1" applyBorder="1" applyAlignment="1">
      <alignment horizontal="center" vertical="center"/>
    </xf>
    <xf numFmtId="172" fontId="4" fillId="3" borderId="15" xfId="2" applyNumberFormat="1" applyFont="1" applyFill="1" applyBorder="1" applyAlignment="1">
      <alignment horizontal="center" vertical="center"/>
    </xf>
    <xf numFmtId="168" fontId="4" fillId="3" borderId="15" xfId="2" applyNumberFormat="1" applyFont="1" applyFill="1" applyBorder="1" applyAlignment="1">
      <alignment horizontal="center" vertical="center"/>
    </xf>
    <xf numFmtId="0" fontId="4" fillId="3" borderId="15" xfId="2" applyFont="1" applyFill="1" applyBorder="1" applyAlignment="1">
      <alignment horizontal="left" vertical="center"/>
    </xf>
    <xf numFmtId="0" fontId="4" fillId="3" borderId="48" xfId="0" applyFont="1" applyFill="1" applyBorder="1" applyAlignment="1">
      <alignment horizontal="center" vertical="center"/>
    </xf>
    <xf numFmtId="0" fontId="4" fillId="3" borderId="27" xfId="0" applyFont="1" applyFill="1" applyBorder="1" applyAlignment="1">
      <alignment horizontal="center" vertical="center"/>
    </xf>
    <xf numFmtId="173" fontId="4" fillId="3" borderId="15" xfId="2" applyNumberFormat="1" applyFont="1" applyFill="1" applyBorder="1" applyAlignment="1">
      <alignment horizontal="center" vertical="center"/>
    </xf>
    <xf numFmtId="9" fontId="4" fillId="3" borderId="15" xfId="2" applyNumberFormat="1" applyFont="1" applyFill="1" applyBorder="1" applyAlignment="1">
      <alignment horizontal="left" vertical="center"/>
    </xf>
    <xf numFmtId="9" fontId="1" fillId="3" borderId="27" xfId="1" applyFont="1" applyFill="1" applyBorder="1" applyAlignment="1">
      <alignment horizontal="center" vertical="center"/>
    </xf>
    <xf numFmtId="173" fontId="1" fillId="3" borderId="27" xfId="0" applyNumberFormat="1" applyFont="1" applyFill="1" applyBorder="1" applyAlignment="1">
      <alignment horizontal="center" vertical="center"/>
    </xf>
    <xf numFmtId="0" fontId="1" fillId="3" borderId="27" xfId="0" applyFont="1" applyFill="1" applyBorder="1" applyAlignment="1">
      <alignment horizontal="left" vertical="center"/>
    </xf>
    <xf numFmtId="0" fontId="4" fillId="3" borderId="17" xfId="0" applyFont="1" applyFill="1" applyBorder="1" applyAlignment="1">
      <alignment horizontal="center" vertical="center"/>
    </xf>
    <xf numFmtId="0" fontId="4" fillId="0" borderId="37" xfId="0" applyFont="1" applyBorder="1" applyAlignment="1">
      <alignment horizontal="center" vertical="center"/>
    </xf>
    <xf numFmtId="0" fontId="4" fillId="0" borderId="48" xfId="0" applyFont="1" applyBorder="1" applyAlignment="1">
      <alignment horizontal="center" vertical="center"/>
    </xf>
    <xf numFmtId="0" fontId="4" fillId="0" borderId="27" xfId="0" applyFont="1" applyBorder="1" applyAlignment="1">
      <alignment horizontal="center" vertical="center"/>
    </xf>
    <xf numFmtId="0" fontId="4" fillId="3" borderId="19" xfId="0" applyFont="1" applyFill="1" applyBorder="1" applyAlignment="1">
      <alignment horizontal="center" vertical="center"/>
    </xf>
    <xf numFmtId="49" fontId="4" fillId="3" borderId="15" xfId="2" applyNumberFormat="1" applyFont="1" applyFill="1" applyBorder="1" applyAlignment="1">
      <alignment horizontal="center" vertical="center"/>
    </xf>
    <xf numFmtId="0" fontId="1" fillId="3" borderId="15" xfId="2" applyNumberFormat="1" applyFont="1" applyFill="1" applyBorder="1" applyAlignment="1">
      <alignment horizontal="center" vertical="center"/>
    </xf>
    <xf numFmtId="0" fontId="4" fillId="3" borderId="15" xfId="2" applyNumberFormat="1" applyFont="1" applyFill="1" applyBorder="1" applyAlignment="1">
      <alignment horizontal="center" vertical="center"/>
    </xf>
    <xf numFmtId="0" fontId="4" fillId="0" borderId="19" xfId="0" applyFont="1" applyBorder="1" applyAlignment="1">
      <alignment horizontal="center" vertical="center"/>
    </xf>
    <xf numFmtId="164" fontId="2" fillId="2" borderId="49" xfId="0" applyNumberFormat="1" applyFont="1" applyFill="1" applyBorder="1" applyAlignment="1">
      <alignment horizontal="center" vertical="center" wrapText="1"/>
    </xf>
    <xf numFmtId="164" fontId="2" fillId="2" borderId="0" xfId="0" applyNumberFormat="1" applyFont="1" applyFill="1" applyBorder="1" applyAlignment="1">
      <alignment horizontal="center" vertical="center" wrapText="1"/>
    </xf>
    <xf numFmtId="164" fontId="2" fillId="2" borderId="50" xfId="0" applyNumberFormat="1" applyFont="1" applyFill="1" applyBorder="1" applyAlignment="1">
      <alignment horizontal="center" vertical="center" wrapText="1"/>
    </xf>
    <xf numFmtId="0" fontId="1" fillId="3" borderId="15" xfId="0" applyFont="1" applyFill="1" applyBorder="1">
      <alignment vertical="center"/>
    </xf>
    <xf numFmtId="9" fontId="4" fillId="0" borderId="15" xfId="0" applyNumberFormat="1" applyFont="1" applyBorder="1" applyAlignment="1">
      <alignment horizontal="center" vertical="center"/>
    </xf>
    <xf numFmtId="0" fontId="4" fillId="0" borderId="15" xfId="0" applyFont="1" applyBorder="1" applyAlignment="1">
      <alignment horizontal="left" vertical="center" wrapText="1"/>
    </xf>
    <xf numFmtId="0" fontId="9" fillId="3" borderId="15" xfId="0" applyFont="1" applyFill="1" applyBorder="1" applyAlignment="1">
      <alignment horizontal="left" vertical="center" wrapText="1"/>
    </xf>
    <xf numFmtId="9" fontId="4" fillId="3" borderId="15" xfId="2" applyNumberFormat="1" applyFont="1" applyFill="1" applyBorder="1" applyAlignment="1" quotePrefix="1">
      <alignment horizontal="center" vertical="center" wrapText="1"/>
    </xf>
    <xf numFmtId="1" fontId="4" fillId="3" borderId="19" xfId="0" applyNumberFormat="1" applyFont="1" applyFill="1" applyBorder="1" applyAlignment="1">
      <alignment horizontal="center" vertical="center"/>
    </xf>
    <xf numFmtId="165" fontId="4" fillId="3" borderId="19" xfId="2" applyNumberFormat="1" applyFont="1" applyFill="1" applyBorder="1" applyAlignment="1">
      <alignment horizontal="center" vertical="center"/>
    </xf>
    <xf numFmtId="9" fontId="4" fillId="3" borderId="19" xfId="2" applyNumberFormat="1" applyFont="1" applyFill="1" applyBorder="1" applyAlignment="1" quotePrefix="1">
      <alignment horizontal="center" vertical="center" wrapText="1"/>
    </xf>
    <xf numFmtId="9" fontId="4" fillId="3" borderId="19" xfId="0" applyNumberFormat="1" applyFont="1" applyFill="1" applyBorder="1" applyAlignment="1">
      <alignment horizontal="center" vertical="center"/>
    </xf>
    <xf numFmtId="9" fontId="4" fillId="3" borderId="19" xfId="2" applyNumberFormat="1" applyFont="1" applyFill="1" applyBorder="1" applyAlignment="1">
      <alignment horizontal="center" vertical="center"/>
    </xf>
    <xf numFmtId="0" fontId="4" fillId="3" borderId="19" xfId="2" applyFont="1" applyFill="1" applyBorder="1" applyAlignment="1">
      <alignment horizontal="left" vertical="center" wrapText="1"/>
    </xf>
    <xf numFmtId="0" fontId="10" fillId="0" borderId="37" xfId="4" applyFont="1" applyBorder="1" applyAlignment="1">
      <alignment horizontal="center" vertical="center"/>
    </xf>
    <xf numFmtId="0" fontId="10" fillId="3" borderId="15" xfId="4" applyFont="1" applyFill="1" applyBorder="1" applyAlignment="1">
      <alignment horizontal="center" vertical="center"/>
    </xf>
    <xf numFmtId="3" fontId="10" fillId="3" borderId="15" xfId="4" applyNumberFormat="1" applyFont="1" applyFill="1" applyBorder="1" applyAlignment="1">
      <alignment horizontal="center" vertical="center"/>
    </xf>
    <xf numFmtId="9" fontId="10" fillId="3" borderId="15" xfId="4" applyNumberFormat="1" applyFont="1" applyFill="1" applyBorder="1" applyAlignment="1">
      <alignment horizontal="center" vertical="center"/>
    </xf>
    <xf numFmtId="0" fontId="10" fillId="3" borderId="15" xfId="4" applyFont="1" applyFill="1" applyBorder="1" applyAlignment="1">
      <alignment horizontal="left" vertical="center" wrapText="1"/>
    </xf>
    <xf numFmtId="0" fontId="10" fillId="0" borderId="48" xfId="4" applyFont="1" applyBorder="1" applyAlignment="1">
      <alignment horizontal="center" vertical="center"/>
    </xf>
    <xf numFmtId="0" fontId="10" fillId="0" borderId="27" xfId="4" applyFont="1" applyBorder="1" applyAlignment="1">
      <alignment horizontal="center" vertical="center"/>
    </xf>
    <xf numFmtId="0" fontId="4" fillId="0" borderId="48" xfId="0" applyFont="1" applyBorder="1" applyAlignment="1">
      <alignment horizontal="center" vertical="center"/>
    </xf>
    <xf numFmtId="0" fontId="1" fillId="3" borderId="19" xfId="0" applyFont="1" applyFill="1" applyBorder="1" applyAlignment="1">
      <alignment horizontal="center" vertical="center"/>
    </xf>
    <xf numFmtId="0" fontId="4" fillId="3" borderId="19" xfId="0" applyFont="1" applyFill="1" applyBorder="1" applyAlignment="1">
      <alignment horizontal="left" vertical="center" wrapText="1"/>
    </xf>
    <xf numFmtId="0" fontId="6" fillId="0" borderId="47" xfId="4" applyFont="1" applyBorder="1" applyAlignment="1">
      <alignment vertical="bottom"/>
    </xf>
    <xf numFmtId="0" fontId="4" fillId="3" borderId="17" xfId="4" applyFont="1" applyFill="1" applyBorder="1" applyAlignment="1">
      <alignment horizontal="center" vertical="center"/>
    </xf>
    <xf numFmtId="3" fontId="4" fillId="3" borderId="17" xfId="4" applyNumberFormat="1" applyFont="1" applyFill="1" applyBorder="1" applyAlignment="1">
      <alignment horizontal="center" vertical="center"/>
    </xf>
    <xf numFmtId="9" fontId="4" fillId="3" borderId="17" xfId="4" applyNumberFormat="1" applyFont="1" applyFill="1" applyBorder="1" applyAlignment="1">
      <alignment horizontal="center" vertical="center"/>
    </xf>
    <xf numFmtId="9" fontId="4" fillId="3" borderId="17" xfId="0" applyNumberFormat="1" applyFont="1" applyFill="1" applyBorder="1" applyAlignment="1">
      <alignment horizontal="center" vertical="center"/>
    </xf>
    <xf numFmtId="0" fontId="4" fillId="3" borderId="17" xfId="4" applyFont="1" applyFill="1" applyBorder="1" applyAlignment="1">
      <alignment horizontal="left" vertical="center" wrapText="1"/>
    </xf>
    <xf numFmtId="0" fontId="4" fillId="0" borderId="51" xfId="0" applyFont="1" applyBorder="1" applyAlignment="1">
      <alignment horizontal="center" vertical="center"/>
    </xf>
    <xf numFmtId="0" fontId="4" fillId="0" borderId="16" xfId="0" applyFont="1" applyBorder="1" applyAlignment="1">
      <alignment horizontal="center" vertical="center"/>
    </xf>
    <xf numFmtId="165" fontId="4" fillId="3" borderId="15" xfId="0" applyNumberFormat="1" applyFont="1" applyFill="1" applyBorder="1" applyAlignment="1">
      <alignment horizontal="center" vertical="center"/>
    </xf>
    <xf numFmtId="0" fontId="1" fillId="0" borderId="15" xfId="0" applyFont="1" applyBorder="1" applyAlignment="1">
      <alignment horizontal="center" vertical="center" wrapText="1"/>
    </xf>
    <xf numFmtId="0" fontId="1" fillId="0" borderId="15" xfId="0" applyFont="1" applyBorder="1" applyAlignment="1">
      <alignment horizontal="center" vertical="center" wrapText="1"/>
    </xf>
    <xf numFmtId="167" fontId="1" fillId="0" borderId="15" xfId="0" applyNumberFormat="1" applyFont="1" applyBorder="1" applyAlignment="1">
      <alignment horizontal="center" vertical="center" wrapText="1"/>
    </xf>
    <xf numFmtId="166" fontId="1" fillId="0" borderId="15" xfId="0" applyNumberFormat="1" applyFont="1" applyBorder="1" applyAlignment="1">
      <alignment horizontal="center" vertical="center" wrapText="1"/>
    </xf>
    <xf numFmtId="168" fontId="1" fillId="0" borderId="15" xfId="1" applyNumberFormat="1" applyFont="1" applyBorder="1" applyAlignment="1">
      <alignment horizontal="center" vertical="center" wrapText="1"/>
    </xf>
    <xf numFmtId="9" fontId="1" fillId="0" borderId="15" xfId="1" applyFont="1" applyBorder="1" applyAlignment="1">
      <alignment horizontal="center" vertical="center" wrapText="1"/>
    </xf>
    <xf numFmtId="0" fontId="1" fillId="0" borderId="15" xfId="0" applyFont="1" applyBorder="1" applyAlignment="1">
      <alignment horizontal="left" vertical="center" wrapText="1"/>
    </xf>
    <xf numFmtId="9" fontId="1" fillId="0" borderId="15" xfId="0" applyNumberFormat="1" applyFont="1" applyBorder="1" applyAlignment="1">
      <alignment horizontal="center" vertical="center" wrapText="1"/>
    </xf>
    <xf numFmtId="1" fontId="9" fillId="0" borderId="15" xfId="0" applyNumberFormat="1" applyFont="1" applyBorder="1" applyAlignment="1">
      <alignment horizontal="center" vertical="center" wrapText="1"/>
    </xf>
    <xf numFmtId="9" fontId="9" fillId="0" borderId="15" xfId="0" applyNumberFormat="1" applyFont="1" applyBorder="1" applyAlignment="1">
      <alignment horizontal="center" vertical="center" wrapText="1"/>
    </xf>
    <xf numFmtId="165" fontId="9" fillId="0" borderId="15" xfId="0" applyNumberFormat="1" applyFont="1" applyBorder="1" applyAlignment="1">
      <alignment horizontal="center" vertical="center" wrapText="1"/>
    </xf>
    <xf numFmtId="166" fontId="9" fillId="0" borderId="15" xfId="0" applyNumberFormat="1" applyFont="1" applyBorder="1" applyAlignment="1">
      <alignment horizontal="center" vertical="center" wrapText="1"/>
    </xf>
    <xf numFmtId="174" fontId="1" fillId="0" borderId="15" xfId="0" applyNumberFormat="1" applyFont="1" applyBorder="1" applyAlignment="1">
      <alignment horizontal="center" vertical="center" wrapText="1"/>
    </xf>
    <xf numFmtId="0" fontId="9" fillId="0" borderId="37" xfId="0" applyFont="1" applyBorder="1" applyAlignment="1">
      <alignment horizontal="center" vertical="center"/>
    </xf>
    <xf numFmtId="0" fontId="9" fillId="0" borderId="48" xfId="0" applyFont="1" applyBorder="1" applyAlignment="1">
      <alignment horizontal="center" vertical="center"/>
    </xf>
    <xf numFmtId="0" fontId="9" fillId="0" borderId="27" xfId="0" applyFont="1" applyBorder="1" applyAlignment="1">
      <alignment horizontal="center" vertical="center"/>
    </xf>
    <xf numFmtId="0" fontId="9" fillId="0" borderId="15" xfId="0" applyFont="1" applyBorder="1" applyAlignment="1">
      <alignment horizontal="center" vertical="center"/>
    </xf>
    <xf numFmtId="0" fontId="4" fillId="3" borderId="18"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2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16" xfId="0" applyFont="1" applyFill="1" applyBorder="1" applyAlignment="1">
      <alignment horizontal="center" vertical="center"/>
    </xf>
    <xf numFmtId="0" fontId="1" fillId="3" borderId="15" xfId="0" applyFont="1" applyFill="1" applyBorder="1" applyAlignment="1">
      <alignment horizontal="center" vertical="center" wrapText="1"/>
    </xf>
    <xf numFmtId="0" fontId="11" fillId="0" borderId="18" xfId="0" applyFont="1" applyBorder="1" applyAlignment="1">
      <alignment horizontal="left" vertical="center" wrapText="1"/>
    </xf>
    <xf numFmtId="0" fontId="11" fillId="0" borderId="19" xfId="0" applyFont="1" applyBorder="1" applyAlignment="1">
      <alignment horizontal="left" vertical="center" wrapText="1"/>
    </xf>
    <xf numFmtId="0" fontId="11" fillId="0" borderId="20" xfId="0" applyFont="1" applyBorder="1" applyAlignment="1">
      <alignment horizontal="left" vertical="center" wrapText="1"/>
    </xf>
    <xf numFmtId="0" fontId="11" fillId="0" borderId="49" xfId="0" applyFont="1" applyBorder="1" applyAlignment="1">
      <alignment horizontal="left" vertical="center" wrapText="1"/>
    </xf>
    <xf numFmtId="0" fontId="11" fillId="0" borderId="0" xfId="0" applyFont="1" applyBorder="1" applyAlignment="1">
      <alignment horizontal="left" vertical="center" wrapText="1"/>
    </xf>
    <xf numFmtId="0" fontId="11" fillId="0" borderId="50" xfId="0" applyFont="1" applyBorder="1" applyAlignment="1">
      <alignment horizontal="left" vertical="center" wrapText="1"/>
    </xf>
    <xf numFmtId="0" fontId="11" fillId="0" borderId="46" xfId="0" applyFont="1" applyBorder="1" applyAlignment="1">
      <alignment horizontal="left" vertical="center" wrapText="1"/>
    </xf>
    <xf numFmtId="0" fontId="11" fillId="0" borderId="47" xfId="0" applyFont="1" applyBorder="1" applyAlignment="1">
      <alignment horizontal="left" vertical="center" wrapText="1"/>
    </xf>
    <xf numFmtId="0" fontId="11" fillId="0" borderId="52" xfId="0" applyFont="1" applyBorder="1" applyAlignment="1">
      <alignment horizontal="left" vertical="center" wrapText="1"/>
    </xf>
  </cellXfs>
  <cellStyles count="5">
    <cellStyle name="常规" xfId="0" builtinId="0"/>
    <cellStyle name="百分比" xfId="1" builtinId="5"/>
    <cellStyle name="常规 2" xfId="2"/>
    <cellStyle name="千位分隔" xfId="3" builtinId="3"/>
    <cellStyle name="Normal" xfId="4"/>
  </cellStyles>
  <dxfs count="0"/>
  <tableStyles defaultTableStyle="TableStyleMedium2"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www.wps.cn/officeDocument/2020/cellImage" Target="cellimages.xml"/><Relationship Id="rId3" Type="http://schemas.openxmlformats.org/officeDocument/2006/relationships/sharedStrings" Target="sharedStrings.xml"/><Relationship Id="rId4" Type="http://schemas.openxmlformats.org/officeDocument/2006/relationships/styles" Target="styles.xml"/><Relationship Id="rId5"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XFD840"/>
  <sheetViews>
    <sheetView tabSelected="1" workbookViewId="0" zoomScale="55">
      <selection activeCell="J533" sqref="J533"/>
    </sheetView>
  </sheetViews>
  <sheetFormatPr defaultRowHeight="22.2" defaultColWidth="12"/>
  <cols>
    <col min="1" max="1" customWidth="1" width="20.664062" style="1"/>
    <col min="2" max="2" customWidth="1" width="19.0" style="1"/>
    <col min="3" max="3" customWidth="1" width="15.0" style="1"/>
    <col min="4" max="4" customWidth="1" width="16.664062" style="1"/>
    <col min="5" max="6" customWidth="1" width="12.21875" style="1"/>
    <col min="7" max="7" customWidth="1" width="18.441406" style="1"/>
    <col min="8" max="8" customWidth="1" width="17.109375" style="1"/>
    <col min="9" max="10" customWidth="1" width="15.441406" style="1"/>
    <col min="11" max="11" customWidth="1" width="20.441406" style="1"/>
    <col min="12" max="12" customWidth="1" width="93.88672" style="2"/>
    <col min="13" max="16384" customWidth="0" width="12.21875" style="1"/>
  </cols>
  <sheetData>
    <row r="1" spans="8:8" ht="28.2">
      <c r="A1" s="3" t="s">
        <v>996</v>
      </c>
      <c r="B1" s="4"/>
      <c r="C1" s="4"/>
      <c r="D1" s="4"/>
      <c r="E1" s="4"/>
      <c r="F1" s="4"/>
      <c r="G1" s="4"/>
      <c r="H1" s="4"/>
      <c r="I1" s="4"/>
      <c r="J1" s="4"/>
      <c r="K1" s="4"/>
      <c r="L1" s="5"/>
    </row>
    <row r="2" spans="8:8" ht="54.0" customHeight="1">
      <c r="A2" s="6" t="s">
        <v>0</v>
      </c>
      <c r="B2" s="7" t="s">
        <v>1</v>
      </c>
      <c r="C2" s="8" t="s">
        <v>160</v>
      </c>
      <c r="D2" s="9"/>
      <c r="E2" s="10" t="s">
        <v>2</v>
      </c>
      <c r="F2" s="11"/>
      <c r="G2" s="10" t="s">
        <v>161</v>
      </c>
      <c r="H2" s="11"/>
      <c r="I2" s="10" t="s">
        <v>865</v>
      </c>
      <c r="J2" s="12"/>
      <c r="K2" s="13" t="s">
        <v>866</v>
      </c>
      <c r="L2" s="14" t="s">
        <v>5</v>
      </c>
    </row>
    <row r="3" spans="8:8" ht="23.4">
      <c r="A3" s="15"/>
      <c r="B3" s="16"/>
      <c r="C3" s="17" t="s">
        <v>91</v>
      </c>
      <c r="D3" s="18">
        <v>2026.0</v>
      </c>
      <c r="E3" s="17" t="s">
        <v>91</v>
      </c>
      <c r="F3" s="18">
        <v>2026.0</v>
      </c>
      <c r="G3" s="17" t="s">
        <v>91</v>
      </c>
      <c r="H3" s="18">
        <v>2026.0</v>
      </c>
      <c r="I3" s="17" t="s">
        <v>91</v>
      </c>
      <c r="J3" s="19">
        <v>2026.0</v>
      </c>
      <c r="K3" s="20"/>
      <c r="L3" s="21"/>
    </row>
    <row r="4" spans="8:8">
      <c r="A4" s="22" t="s">
        <v>867</v>
      </c>
      <c r="B4" s="23" t="s">
        <v>868</v>
      </c>
      <c r="C4" s="24">
        <v>10000.0</v>
      </c>
      <c r="D4" s="25">
        <v>45000.0</v>
      </c>
      <c r="E4" s="26">
        <f>C4/7068.53-1</f>
        <v>0.41472130697612997</v>
      </c>
      <c r="F4" s="26">
        <f>D4/28431-1</f>
        <v>0.5827793605571401</v>
      </c>
      <c r="G4" s="24">
        <f>C4*0.18</f>
        <v>1800.0</v>
      </c>
      <c r="H4" s="27">
        <f>D4*0.17</f>
        <v>7650.000000000001</v>
      </c>
      <c r="I4" s="26">
        <f>G4/862.84-1</f>
        <v>1.0861341616058602</v>
      </c>
      <c r="J4" s="26">
        <f>H4/3334-1</f>
        <v>1.2945410917816398</v>
      </c>
      <c r="K4" s="28" t="s">
        <v>3</v>
      </c>
      <c r="L4" s="29" t="s">
        <v>869</v>
      </c>
    </row>
    <row r="5" spans="8:8">
      <c r="A5" s="22"/>
      <c r="B5" s="23" t="s">
        <v>870</v>
      </c>
      <c r="C5" s="24">
        <v>2500.0</v>
      </c>
      <c r="D5" s="25">
        <v>10000.0</v>
      </c>
      <c r="E5" s="26">
        <f>C5/1352.6-1</f>
        <v>0.8482921780274999</v>
      </c>
      <c r="F5" s="26">
        <f>D5/5227.83-1</f>
        <v>0.9128395529311399</v>
      </c>
      <c r="G5" s="25">
        <f>C5*0.095</f>
        <v>237.5</v>
      </c>
      <c r="H5" s="25">
        <v>1000.0</v>
      </c>
      <c r="I5" s="26">
        <f>G5/66.07-1</f>
        <v>2.59467231723929</v>
      </c>
      <c r="J5" s="26">
        <f>H5/240.33-1</f>
        <v>3.16094536678733</v>
      </c>
      <c r="K5" s="28" t="s">
        <v>3</v>
      </c>
      <c r="L5" s="29" t="s">
        <v>871</v>
      </c>
    </row>
    <row r="6" spans="8:8">
      <c r="A6" s="22"/>
      <c r="B6" s="23" t="s">
        <v>872</v>
      </c>
      <c r="C6" s="24">
        <v>8000.0</v>
      </c>
      <c r="D6" s="25">
        <v>30000.0</v>
      </c>
      <c r="E6" s="26">
        <f>C6/5670.56-1</f>
        <v>0.41079540645016</v>
      </c>
      <c r="F6" s="26">
        <v>0.30434782608695654</v>
      </c>
      <c r="G6" s="24">
        <f>C6*17%</f>
        <v>1360.0</v>
      </c>
      <c r="H6" s="27">
        <v>5000.0</v>
      </c>
      <c r="I6" s="26">
        <f>G6/868.57-1</f>
        <v>0.5657920490000801</v>
      </c>
      <c r="J6" s="26">
        <v>0.5625</v>
      </c>
      <c r="K6" s="28"/>
      <c r="L6" s="29" t="s">
        <v>873</v>
      </c>
    </row>
    <row r="7" spans="8:8">
      <c r="A7" s="22"/>
      <c r="B7" s="23" t="s">
        <v>874</v>
      </c>
      <c r="C7" s="24">
        <v>8300.0</v>
      </c>
      <c r="D7" s="25">
        <v>51000.0</v>
      </c>
      <c r="E7" s="26">
        <f>C7/8288.45-1</f>
        <v>0.0013935054201899</v>
      </c>
      <c r="F7" s="26">
        <v>0.2684042976522085</v>
      </c>
      <c r="G7" s="24">
        <v>750.0</v>
      </c>
      <c r="H7" s="25">
        <v>5631.0</v>
      </c>
      <c r="I7" s="26">
        <f>G7/744.87-1</f>
        <v>0.0068871078174699285</v>
      </c>
      <c r="J7" s="26">
        <v>0.47177208572922114</v>
      </c>
      <c r="K7" s="28"/>
      <c r="L7" s="29" t="s">
        <v>875</v>
      </c>
    </row>
    <row r="8" spans="8:8">
      <c r="A8" s="22"/>
      <c r="B8" s="23" t="s">
        <v>876</v>
      </c>
      <c r="C8" s="24">
        <v>4000.0</v>
      </c>
      <c r="D8" s="25">
        <v>19000.0</v>
      </c>
      <c r="E8" s="26">
        <f>C8/3751.85-1</f>
        <v>0.06614070391939997</v>
      </c>
      <c r="F8" s="26">
        <f>D8/15308-1</f>
        <v>0.2411810817872999</v>
      </c>
      <c r="G8" s="24">
        <f>C8*0.07</f>
        <v>280.0</v>
      </c>
      <c r="H8" s="27">
        <v>2200.0</v>
      </c>
      <c r="I8" s="26">
        <f>G8/324.73-1</f>
        <v>-0.13774520370769605</v>
      </c>
      <c r="J8" s="26">
        <f>H8/1231-1</f>
        <v>0.7871649065800199</v>
      </c>
      <c r="K8" s="28"/>
      <c r="L8" s="29" t="s">
        <v>877</v>
      </c>
    </row>
    <row r="9" spans="8:8">
      <c r="A9" s="22"/>
      <c r="B9" s="23" t="s">
        <v>878</v>
      </c>
      <c r="C9" s="24">
        <v>3000.0</v>
      </c>
      <c r="D9" s="25">
        <v>13200.0</v>
      </c>
      <c r="E9" s="26">
        <f>C9/2189.27-1</f>
        <v>0.37031978696095</v>
      </c>
      <c r="F9" s="26">
        <f>D9/9494-1</f>
        <v>0.39035180113755996</v>
      </c>
      <c r="G9" s="24">
        <v>500.0</v>
      </c>
      <c r="H9" s="25">
        <v>2500.0</v>
      </c>
      <c r="I9" s="26">
        <f>G9/330.33-1</f>
        <v>0.51363787727424</v>
      </c>
      <c r="J9" s="26">
        <f>H9/1473-1</f>
        <v>0.6972165648336699</v>
      </c>
      <c r="K9" s="28" t="s">
        <v>3</v>
      </c>
      <c r="L9" s="29" t="s">
        <v>879</v>
      </c>
    </row>
    <row r="10" spans="8:8">
      <c r="A10" s="22"/>
      <c r="B10" s="23" t="s">
        <v>880</v>
      </c>
      <c r="C10" s="24">
        <v>2500.0</v>
      </c>
      <c r="D10" s="25">
        <v>10000.0</v>
      </c>
      <c r="E10" s="26">
        <f>C10/1307.77-1</f>
        <v>0.9116511313151401</v>
      </c>
      <c r="F10" s="26">
        <v>0.9230769230769231</v>
      </c>
      <c r="G10" s="24">
        <f>C10*0.21</f>
        <v>525.0</v>
      </c>
      <c r="H10" s="27">
        <f>D10*0.25</f>
        <v>2500.0</v>
      </c>
      <c r="I10" s="26">
        <f>G10/251.21-1</f>
        <v>1.08988495680904</v>
      </c>
      <c r="J10" s="26">
        <f>H10/1016-1</f>
        <v>1.46062992125984</v>
      </c>
      <c r="K10" s="28" t="s">
        <v>3</v>
      </c>
      <c r="L10" s="29" t="s">
        <v>881</v>
      </c>
    </row>
    <row r="11" spans="8:8">
      <c r="A11" s="22"/>
      <c r="B11" s="23" t="s">
        <v>882</v>
      </c>
      <c r="C11" s="24">
        <v>7500.0</v>
      </c>
      <c r="D11" s="25">
        <v>30000.0</v>
      </c>
      <c r="E11" s="26">
        <f>C11/4456.24-1</f>
        <v>0.6830332298080899</v>
      </c>
      <c r="F11" s="26">
        <v>0.5835312747426762</v>
      </c>
      <c r="G11" s="24">
        <v>1550.0</v>
      </c>
      <c r="H11" s="30">
        <v>6500.0</v>
      </c>
      <c r="I11" s="26">
        <f>G11/920.32-1</f>
        <v>0.68419680111266</v>
      </c>
      <c r="J11" s="26">
        <v>0.7</v>
      </c>
      <c r="K11" s="28" t="s">
        <v>3</v>
      </c>
      <c r="L11" s="29" t="s">
        <v>883</v>
      </c>
    </row>
    <row r="12" spans="8:8" ht="44.4">
      <c r="A12" s="31" t="s">
        <v>884</v>
      </c>
      <c r="B12" s="32" t="s">
        <v>885</v>
      </c>
      <c r="C12" s="25">
        <v>10879.84</v>
      </c>
      <c r="D12" s="25">
        <v>50283.0</v>
      </c>
      <c r="E12" s="26">
        <v>0.371</v>
      </c>
      <c r="F12" s="26">
        <v>0.2777</v>
      </c>
      <c r="G12" s="25">
        <v>1699.72</v>
      </c>
      <c r="H12" s="25">
        <v>7091.0</v>
      </c>
      <c r="I12" s="26">
        <v>0.0445</v>
      </c>
      <c r="J12" s="26">
        <v>0.3929</v>
      </c>
      <c r="K12" s="28"/>
      <c r="L12" s="33" t="s">
        <v>886</v>
      </c>
    </row>
    <row r="13" spans="8:8">
      <c r="A13" s="34"/>
      <c r="B13" s="32" t="s">
        <v>887</v>
      </c>
      <c r="C13" s="25">
        <v>3501.97</v>
      </c>
      <c r="D13" s="25">
        <v>16320.5</v>
      </c>
      <c r="E13" s="26">
        <v>0.2564</v>
      </c>
      <c r="F13" s="26">
        <v>0.3182</v>
      </c>
      <c r="G13" s="25">
        <v>944.76</v>
      </c>
      <c r="H13" s="25">
        <v>3132.22</v>
      </c>
      <c r="I13" s="26">
        <v>1.4005</v>
      </c>
      <c r="J13" s="26">
        <v>0.4834</v>
      </c>
      <c r="K13" s="28"/>
      <c r="L13" s="35" t="s">
        <v>888</v>
      </c>
    </row>
    <row r="14" spans="8:8">
      <c r="A14" s="34"/>
      <c r="B14" s="32" t="s">
        <v>889</v>
      </c>
      <c r="C14" s="25">
        <v>1341.98</v>
      </c>
      <c r="D14" s="25">
        <v>5963.64</v>
      </c>
      <c r="E14" s="26">
        <v>0.2941</v>
      </c>
      <c r="F14" s="26">
        <v>0.283</v>
      </c>
      <c r="G14" s="25">
        <v>335.67</v>
      </c>
      <c r="H14" s="25">
        <v>1425.36</v>
      </c>
      <c r="I14" s="26">
        <v>0.2341</v>
      </c>
      <c r="J14" s="26">
        <v>0.3152</v>
      </c>
      <c r="K14" s="28"/>
      <c r="L14" s="35" t="s">
        <v>890</v>
      </c>
    </row>
    <row r="15" spans="8:8">
      <c r="A15" s="34"/>
      <c r="B15" s="32" t="s">
        <v>891</v>
      </c>
      <c r="C15" s="25">
        <v>9784.0</v>
      </c>
      <c r="D15" s="25">
        <v>43647.0</v>
      </c>
      <c r="E15" s="26">
        <v>0.0555</v>
      </c>
      <c r="F15" s="26">
        <v>0.1239</v>
      </c>
      <c r="G15" s="25">
        <v>445.0</v>
      </c>
      <c r="H15" s="25">
        <v>2024.0</v>
      </c>
      <c r="I15" s="26">
        <v>0.664</v>
      </c>
      <c r="J15" s="26">
        <v>0.2932</v>
      </c>
      <c r="K15" s="28"/>
      <c r="L15" s="35" t="s">
        <v>892</v>
      </c>
    </row>
    <row r="16" spans="8:8">
      <c r="A16" s="34"/>
      <c r="B16" s="32" t="s">
        <v>893</v>
      </c>
      <c r="C16" s="25">
        <v>206.7</v>
      </c>
      <c r="D16" s="25">
        <v>876.0</v>
      </c>
      <c r="E16" s="26">
        <v>0.248</v>
      </c>
      <c r="F16" s="26">
        <v>0.2977</v>
      </c>
      <c r="G16" s="25">
        <v>44.45</v>
      </c>
      <c r="H16" s="25">
        <v>132.0</v>
      </c>
      <c r="I16" s="26">
        <v>0.2953</v>
      </c>
      <c r="J16" s="26">
        <v>0.3916</v>
      </c>
      <c r="K16" s="28"/>
      <c r="L16" s="35" t="s">
        <v>894</v>
      </c>
    </row>
    <row r="17" spans="8:8">
      <c r="A17" s="34"/>
      <c r="B17" s="32" t="s">
        <v>895</v>
      </c>
      <c r="C17" s="25">
        <v>576.34</v>
      </c>
      <c r="D17" s="25">
        <v>3057.0</v>
      </c>
      <c r="E17" s="26">
        <v>0.4126</v>
      </c>
      <c r="F17" s="26">
        <v>0.4889</v>
      </c>
      <c r="G17" s="25">
        <v>7.14</v>
      </c>
      <c r="H17" s="25">
        <v>376.43</v>
      </c>
      <c r="I17" s="26">
        <v>3.14</v>
      </c>
      <c r="J17" s="26">
        <v>5.4179</v>
      </c>
      <c r="K17" s="28"/>
      <c r="L17" s="33" t="s">
        <v>896</v>
      </c>
    </row>
    <row r="18" spans="8:8" ht="44.4">
      <c r="A18" s="34"/>
      <c r="B18" s="32" t="s">
        <v>897</v>
      </c>
      <c r="C18" s="25">
        <v>829.88</v>
      </c>
      <c r="D18" s="25">
        <v>4316.5</v>
      </c>
      <c r="E18" s="26">
        <v>0.1998</v>
      </c>
      <c r="F18" s="26">
        <v>0.2894</v>
      </c>
      <c r="G18" s="25">
        <v>44.99</v>
      </c>
      <c r="H18" s="25">
        <v>332.49</v>
      </c>
      <c r="I18" s="26">
        <v>5.5306</v>
      </c>
      <c r="J18" s="26">
        <v>3.0537</v>
      </c>
      <c r="K18" s="28"/>
      <c r="L18" s="33" t="s">
        <v>898</v>
      </c>
    </row>
    <row r="19" spans="8:8">
      <c r="A19" s="34"/>
      <c r="B19" s="32" t="s">
        <v>899</v>
      </c>
      <c r="C19" s="25">
        <v>155.52</v>
      </c>
      <c r="D19" s="25">
        <v>588.0</v>
      </c>
      <c r="E19" s="26">
        <v>0.2532</v>
      </c>
      <c r="F19" s="26">
        <v>0.2657</v>
      </c>
      <c r="G19" s="25">
        <v>10.0</v>
      </c>
      <c r="H19" s="36">
        <v>46.0</v>
      </c>
      <c r="I19" s="26">
        <v>0.353</v>
      </c>
      <c r="J19" s="26">
        <v>0.2961</v>
      </c>
      <c r="K19" s="28"/>
      <c r="L19" s="35" t="s">
        <v>900</v>
      </c>
    </row>
    <row r="20" spans="8:8" ht="44.4">
      <c r="A20" s="34"/>
      <c r="B20" s="32" t="s">
        <v>901</v>
      </c>
      <c r="C20" s="24">
        <v>840.0</v>
      </c>
      <c r="D20" s="25">
        <v>3400.0</v>
      </c>
      <c r="E20" s="37">
        <v>0.14</v>
      </c>
      <c r="F20" s="37">
        <v>0.13</v>
      </c>
      <c r="G20" s="24">
        <v>70.0</v>
      </c>
      <c r="H20" s="25">
        <v>280.0</v>
      </c>
      <c r="I20" s="37">
        <v>0.23</v>
      </c>
      <c r="J20" s="37">
        <v>0.3</v>
      </c>
      <c r="K20" s="28"/>
      <c r="L20" s="35" t="s">
        <v>902</v>
      </c>
    </row>
    <row r="21" spans="8:8">
      <c r="A21" s="34"/>
      <c r="B21" s="32" t="s">
        <v>903</v>
      </c>
      <c r="C21" s="38">
        <v>1670.0</v>
      </c>
      <c r="D21" s="25">
        <v>6000.0</v>
      </c>
      <c r="E21" s="39">
        <v>0.24</v>
      </c>
      <c r="F21" s="37">
        <v>0.22</v>
      </c>
      <c r="G21" s="38">
        <v>80.0</v>
      </c>
      <c r="H21" s="25">
        <v>350.0</v>
      </c>
      <c r="I21" s="39">
        <v>0.34</v>
      </c>
      <c r="J21" s="37">
        <v>1.54</v>
      </c>
      <c r="K21" s="28"/>
      <c r="L21" s="35" t="s">
        <v>904</v>
      </c>
    </row>
    <row r="22" spans="8:8" ht="44.4">
      <c r="A22" s="34"/>
      <c r="B22" s="32" t="s">
        <v>905</v>
      </c>
      <c r="C22" s="24">
        <v>1430.0</v>
      </c>
      <c r="D22" s="25">
        <v>5800.0</v>
      </c>
      <c r="E22" s="24">
        <v>30.0</v>
      </c>
      <c r="F22" s="37">
        <v>0.27</v>
      </c>
      <c r="G22" s="24">
        <v>240.0</v>
      </c>
      <c r="H22" s="25">
        <v>800.0</v>
      </c>
      <c r="I22" s="37">
        <v>1.5</v>
      </c>
      <c r="J22" s="37">
        <v>0.66</v>
      </c>
      <c r="K22" s="28"/>
      <c r="L22" s="35" t="s">
        <v>906</v>
      </c>
    </row>
    <row r="23" spans="8:8">
      <c r="A23" s="22" t="s">
        <v>907</v>
      </c>
      <c r="B23" s="23" t="s">
        <v>908</v>
      </c>
      <c r="C23" s="24">
        <v>800.0</v>
      </c>
      <c r="D23" s="25">
        <v>3500.0</v>
      </c>
      <c r="E23" s="26">
        <v>-0.1524595344827545</v>
      </c>
      <c r="F23" s="26">
        <v>-0.007030805758280523</v>
      </c>
      <c r="G23" s="24">
        <v>120.0</v>
      </c>
      <c r="H23" s="27">
        <v>600.0</v>
      </c>
      <c r="I23" s="26">
        <v>0.050037518549313154</v>
      </c>
      <c r="J23" s="26">
        <v>0.010103048298504502</v>
      </c>
      <c r="K23" s="28"/>
      <c r="L23" s="33" t="s">
        <v>909</v>
      </c>
    </row>
    <row r="24" spans="8:8">
      <c r="A24" s="22"/>
      <c r="B24" s="23" t="s">
        <v>910</v>
      </c>
      <c r="C24" s="24">
        <v>1000.0</v>
      </c>
      <c r="D24" s="25">
        <v>4000.0</v>
      </c>
      <c r="E24" s="26">
        <v>0.3942238167480341</v>
      </c>
      <c r="F24" s="26">
        <v>0.40946618561851333</v>
      </c>
      <c r="G24" s="24">
        <v>250.0</v>
      </c>
      <c r="H24" s="27">
        <v>1000.0</v>
      </c>
      <c r="I24" s="26">
        <v>2.591283695439059</v>
      </c>
      <c r="J24" s="26">
        <v>2.814862486931629</v>
      </c>
      <c r="K24" s="28"/>
      <c r="L24" s="33" t="s">
        <v>911</v>
      </c>
    </row>
    <row r="25" spans="8:8">
      <c r="A25" s="22"/>
      <c r="B25" s="23" t="s">
        <v>912</v>
      </c>
      <c r="C25" s="24">
        <v>1400.0</v>
      </c>
      <c r="D25" s="25">
        <v>5300.0</v>
      </c>
      <c r="E25" s="26">
        <v>0.2059811964742042</v>
      </c>
      <c r="F25" s="26">
        <v>0.20397332416709668</v>
      </c>
      <c r="G25" s="24">
        <v>400.0</v>
      </c>
      <c r="H25" s="27">
        <v>1400.0</v>
      </c>
      <c r="I25" s="26">
        <v>0.24352343488631711</v>
      </c>
      <c r="J25" s="26">
        <v>0.346215817386786</v>
      </c>
      <c r="K25" s="28"/>
      <c r="L25" s="33" t="s">
        <v>913</v>
      </c>
    </row>
    <row r="26" spans="8:8" ht="44.4">
      <c r="A26" s="22"/>
      <c r="B26" s="23" t="s">
        <v>914</v>
      </c>
      <c r="C26" s="24">
        <v>260.0</v>
      </c>
      <c r="D26" s="25">
        <v>1100.0</v>
      </c>
      <c r="E26" s="26">
        <v>0.011008538852248728</v>
      </c>
      <c r="F26" s="26">
        <v>0.19256871748243132</v>
      </c>
      <c r="G26" s="24">
        <v>60.0</v>
      </c>
      <c r="H26" s="27">
        <v>290.0</v>
      </c>
      <c r="I26" s="26">
        <v>0.20178677379166432</v>
      </c>
      <c r="J26" s="26">
        <v>0.4174966062820482</v>
      </c>
      <c r="K26" s="28"/>
      <c r="L26" s="33" t="s">
        <v>915</v>
      </c>
    </row>
    <row r="27" spans="8:8">
      <c r="A27" s="22"/>
      <c r="B27" s="23" t="s">
        <v>916</v>
      </c>
      <c r="C27" s="24">
        <v>690.0</v>
      </c>
      <c r="D27" s="25">
        <v>3070.0</v>
      </c>
      <c r="E27" s="26">
        <v>0.0033577194930365373</v>
      </c>
      <c r="F27" s="26">
        <v>0.19675258334107126</v>
      </c>
      <c r="G27" s="24">
        <v>140.0</v>
      </c>
      <c r="H27" s="27">
        <v>630.0</v>
      </c>
      <c r="I27" s="26">
        <v>-0.1644675389128578</v>
      </c>
      <c r="J27" s="26">
        <v>0.26546645485730247</v>
      </c>
      <c r="K27" s="28"/>
      <c r="L27" s="33" t="s">
        <v>917</v>
      </c>
    </row>
    <row r="28" spans="8:8">
      <c r="A28" s="22"/>
      <c r="B28" s="23" t="s">
        <v>918</v>
      </c>
      <c r="C28" s="24">
        <v>250.0</v>
      </c>
      <c r="D28" s="25">
        <v>1300.0</v>
      </c>
      <c r="E28" s="26">
        <v>-0.0857340214212261</v>
      </c>
      <c r="F28" s="26">
        <v>0.2807540632377643</v>
      </c>
      <c r="G28" s="24">
        <v>40.0</v>
      </c>
      <c r="H28" s="27">
        <v>150.0</v>
      </c>
      <c r="I28" s="26">
        <v>-0.38804312219924786</v>
      </c>
      <c r="J28" s="26">
        <v>0.17849966508858328</v>
      </c>
      <c r="K28" s="28"/>
      <c r="L28" s="33" t="s">
        <v>919</v>
      </c>
    </row>
    <row r="29" spans="8:8" ht="44.4">
      <c r="A29" s="22"/>
      <c r="B29" s="23" t="s">
        <v>920</v>
      </c>
      <c r="C29" s="24">
        <v>10000.0</v>
      </c>
      <c r="D29" s="25">
        <v>35000.0</v>
      </c>
      <c r="E29" s="26">
        <v>3.4618031545214736</v>
      </c>
      <c r="F29" s="26">
        <v>2.80291630728919</v>
      </c>
      <c r="G29" s="24">
        <v>5000.0</v>
      </c>
      <c r="H29" s="27">
        <v>20000.0</v>
      </c>
      <c r="I29" s="26">
        <v>13.669402207401886</v>
      </c>
      <c r="J29" s="26">
        <v>11.135755524579237</v>
      </c>
      <c r="K29" s="28" t="s">
        <v>3</v>
      </c>
      <c r="L29" s="33" t="s">
        <v>921</v>
      </c>
    </row>
    <row r="30" spans="8:8" ht="44.4">
      <c r="A30" s="22"/>
      <c r="B30" s="23" t="s">
        <v>922</v>
      </c>
      <c r="C30" s="24">
        <v>1700.0</v>
      </c>
      <c r="D30" s="25">
        <v>7100.0</v>
      </c>
      <c r="E30" s="26">
        <v>0.2046084005046953</v>
      </c>
      <c r="F30" s="26">
        <v>0.30124409588925727</v>
      </c>
      <c r="G30" s="24">
        <v>1000.0</v>
      </c>
      <c r="H30" s="27">
        <v>4500.0</v>
      </c>
      <c r="I30" s="26">
        <v>0.5779233831388031</v>
      </c>
      <c r="J30" s="26">
        <v>1.0129094861824774</v>
      </c>
      <c r="K30" s="28"/>
      <c r="L30" s="35" t="s">
        <v>923</v>
      </c>
    </row>
    <row r="31" spans="8:8">
      <c r="A31" s="22"/>
      <c r="B31" s="23" t="s">
        <v>924</v>
      </c>
      <c r="C31" s="24">
        <v>15000.0</v>
      </c>
      <c r="D31" s="25">
        <v>65000.0</v>
      </c>
      <c r="E31" s="26">
        <v>1.5255932619683623</v>
      </c>
      <c r="F31" s="26">
        <v>1.8551135314802982</v>
      </c>
      <c r="G31" s="24">
        <v>6000.0</v>
      </c>
      <c r="H31" s="27">
        <v>25000.0</v>
      </c>
      <c r="I31" s="26" t="s">
        <v>925</v>
      </c>
      <c r="J31" s="26">
        <v>16.56483683602406</v>
      </c>
      <c r="K31" s="28" t="s">
        <v>3</v>
      </c>
      <c r="L31" s="35" t="s">
        <v>926</v>
      </c>
    </row>
    <row r="32" spans="8:8">
      <c r="A32" s="22"/>
      <c r="B32" s="23" t="s">
        <v>927</v>
      </c>
      <c r="C32" s="24">
        <v>2500.0</v>
      </c>
      <c r="D32" s="25">
        <v>10000.0</v>
      </c>
      <c r="E32" s="26">
        <v>1.1028195987009433</v>
      </c>
      <c r="F32" s="26">
        <v>1.1092562695539412</v>
      </c>
      <c r="G32" s="24">
        <v>600.0</v>
      </c>
      <c r="H32" s="27">
        <v>3000.0</v>
      </c>
      <c r="I32" s="26">
        <v>3.643555505329209</v>
      </c>
      <c r="J32" s="26">
        <v>6.97393007426699</v>
      </c>
      <c r="K32" s="28" t="s">
        <v>3</v>
      </c>
      <c r="L32" s="33" t="s">
        <v>928</v>
      </c>
    </row>
    <row r="33" spans="8:8">
      <c r="A33" s="22"/>
      <c r="B33" s="23" t="s">
        <v>17</v>
      </c>
      <c r="C33" s="24">
        <v>4000.0</v>
      </c>
      <c r="D33" s="25">
        <v>20000.0</v>
      </c>
      <c r="E33" s="26">
        <v>1.260851962443216</v>
      </c>
      <c r="F33" s="26">
        <v>2.078250892910282</v>
      </c>
      <c r="G33" s="24">
        <v>1800.0</v>
      </c>
      <c r="H33" s="27">
        <v>13000.0</v>
      </c>
      <c r="I33" s="26" t="s">
        <v>925</v>
      </c>
      <c r="J33" s="26">
        <v>5.313043819991125</v>
      </c>
      <c r="K33" s="28"/>
      <c r="L33" s="33" t="s">
        <v>929</v>
      </c>
    </row>
    <row r="34" spans="8:8">
      <c r="A34" s="22"/>
      <c r="B34" s="23" t="s">
        <v>18</v>
      </c>
      <c r="C34" s="24">
        <v>5500.0</v>
      </c>
      <c r="D34" s="25">
        <v>24000.0</v>
      </c>
      <c r="E34" s="26">
        <v>0.7949886410850091</v>
      </c>
      <c r="F34" s="26">
        <v>0.6693457954502899</v>
      </c>
      <c r="G34" s="24">
        <v>1500.0</v>
      </c>
      <c r="H34" s="27">
        <v>5500.0</v>
      </c>
      <c r="I34" s="26">
        <v>1.1565430398588648</v>
      </c>
      <c r="J34" s="26">
        <v>1.161192838504038</v>
      </c>
      <c r="K34" s="28"/>
      <c r="L34" s="33" t="s">
        <v>930</v>
      </c>
    </row>
    <row r="35" spans="8:8">
      <c r="A35" s="22"/>
      <c r="B35" s="23" t="s">
        <v>931</v>
      </c>
      <c r="C35" s="24">
        <v>2500.0</v>
      </c>
      <c r="D35" s="25">
        <v>10000.0</v>
      </c>
      <c r="E35" s="26">
        <v>3.9960928607351276</v>
      </c>
      <c r="F35" s="26">
        <v>3.3108017613499605</v>
      </c>
      <c r="G35" s="24">
        <v>800.0</v>
      </c>
      <c r="H35" s="27">
        <v>3000.0</v>
      </c>
      <c r="I35" s="26">
        <v>34.92664695360471</v>
      </c>
      <c r="J35" s="26">
        <v>13.456393529325544</v>
      </c>
      <c r="K35" s="28" t="s">
        <v>3</v>
      </c>
      <c r="L35" s="33" t="s">
        <v>932</v>
      </c>
    </row>
    <row r="36" spans="8:8" ht="44.4">
      <c r="A36" s="22"/>
      <c r="B36" s="32" t="s">
        <v>933</v>
      </c>
      <c r="C36" s="24">
        <v>2400.0</v>
      </c>
      <c r="D36" s="24">
        <v>9500.0</v>
      </c>
      <c r="E36" s="37">
        <v>0.28</v>
      </c>
      <c r="F36" s="37">
        <v>0.29</v>
      </c>
      <c r="G36" s="24">
        <v>450.0</v>
      </c>
      <c r="H36" s="24">
        <v>1850.0</v>
      </c>
      <c r="I36" s="37">
        <v>0.37</v>
      </c>
      <c r="J36" s="37">
        <v>0.47</v>
      </c>
      <c r="K36" s="28"/>
      <c r="L36" s="33" t="s">
        <v>934</v>
      </c>
    </row>
    <row r="37" spans="8:8">
      <c r="A37" s="22"/>
      <c r="B37" s="32" t="s">
        <v>935</v>
      </c>
      <c r="C37" s="38">
        <v>1200.0</v>
      </c>
      <c r="D37" s="24">
        <v>4500.0</v>
      </c>
      <c r="E37" s="39">
        <v>0.3</v>
      </c>
      <c r="F37" s="37">
        <v>0.3</v>
      </c>
      <c r="G37" s="38">
        <v>200.0</v>
      </c>
      <c r="H37" s="24">
        <v>750.0</v>
      </c>
      <c r="I37" s="39">
        <v>0.48</v>
      </c>
      <c r="J37" s="37">
        <v>0.57</v>
      </c>
      <c r="K37" s="28"/>
      <c r="L37" s="40">
        <f>C45</f>
        <v>943.85</v>
      </c>
    </row>
    <row r="38" spans="8:8">
      <c r="A38" s="22"/>
      <c r="B38" s="32" t="s">
        <v>936</v>
      </c>
      <c r="C38" s="24">
        <v>650.0</v>
      </c>
      <c r="D38" s="24">
        <v>2500.0</v>
      </c>
      <c r="E38" s="37">
        <v>0.35</v>
      </c>
      <c r="F38" s="37">
        <v>0.33</v>
      </c>
      <c r="G38" s="24">
        <v>160.0</v>
      </c>
      <c r="H38" s="24">
        <v>650.0</v>
      </c>
      <c r="I38" s="37">
        <v>0.26</v>
      </c>
      <c r="J38" s="37">
        <v>0.64</v>
      </c>
      <c r="K38" s="28"/>
      <c r="L38" s="33" t="s">
        <v>937</v>
      </c>
    </row>
    <row r="39" spans="8:8">
      <c r="A39" s="22"/>
      <c r="B39" s="32" t="s">
        <v>938</v>
      </c>
      <c r="C39" s="38">
        <v>430.0</v>
      </c>
      <c r="D39" s="24">
        <v>1800.0</v>
      </c>
      <c r="E39" s="39">
        <v>0.11</v>
      </c>
      <c r="F39" s="37">
        <v>0.23</v>
      </c>
      <c r="G39" s="38">
        <v>15.0</v>
      </c>
      <c r="H39" s="24">
        <v>100.0</v>
      </c>
      <c r="I39" s="39">
        <v>6.5</v>
      </c>
      <c r="J39" s="37" t="s">
        <v>939</v>
      </c>
      <c r="K39" s="28"/>
      <c r="L39" s="33" t="s">
        <v>940</v>
      </c>
    </row>
    <row r="40" spans="8:8">
      <c r="A40" s="22"/>
      <c r="B40" s="32" t="s">
        <v>941</v>
      </c>
      <c r="C40" s="24">
        <v>600.0</v>
      </c>
      <c r="D40" s="24">
        <v>2300.0</v>
      </c>
      <c r="E40" s="37">
        <v>0.55</v>
      </c>
      <c r="F40" s="37">
        <v>0.7</v>
      </c>
      <c r="G40" s="24">
        <v>-50.0</v>
      </c>
      <c r="H40" s="24">
        <v>-200.0</v>
      </c>
      <c r="I40" s="37">
        <v>0.5</v>
      </c>
      <c r="J40" s="37">
        <v>0.5</v>
      </c>
      <c r="K40" s="28"/>
      <c r="L40" s="33" t="s">
        <v>942</v>
      </c>
    </row>
    <row r="41" spans="8:8">
      <c r="A41" s="22" t="s">
        <v>943</v>
      </c>
      <c r="B41" s="23" t="s">
        <v>944</v>
      </c>
      <c r="C41" s="25">
        <v>795.7</v>
      </c>
      <c r="D41" s="25">
        <v>3365.2</v>
      </c>
      <c r="E41" s="26">
        <v>0.335</v>
      </c>
      <c r="F41" s="26">
        <v>0.344</v>
      </c>
      <c r="G41" s="27">
        <v>257.6</v>
      </c>
      <c r="H41" s="27">
        <v>949.2</v>
      </c>
      <c r="I41" s="26">
        <v>0.246</v>
      </c>
      <c r="J41" s="26">
        <v>0.211</v>
      </c>
      <c r="K41" s="28"/>
      <c r="L41" s="33" t="s">
        <v>945</v>
      </c>
    </row>
    <row r="42" spans="8:8">
      <c r="A42" s="22"/>
      <c r="B42" s="23" t="s">
        <v>946</v>
      </c>
      <c r="C42" s="25">
        <v>889.47</v>
      </c>
      <c r="D42" s="25">
        <v>4015.0</v>
      </c>
      <c r="E42" s="26">
        <v>-0.02</v>
      </c>
      <c r="F42" s="26">
        <v>0.097</v>
      </c>
      <c r="G42" s="24">
        <v>299.0</v>
      </c>
      <c r="H42" s="27">
        <v>1261.0</v>
      </c>
      <c r="I42" s="26">
        <v>0.526</v>
      </c>
      <c r="J42" s="26">
        <v>0.585</v>
      </c>
      <c r="K42" s="28" t="s">
        <v>3</v>
      </c>
      <c r="L42" s="33" t="s">
        <v>947</v>
      </c>
    </row>
    <row r="43" spans="8:8" ht="44.4">
      <c r="A43" s="22"/>
      <c r="B43" s="23" t="s">
        <v>948</v>
      </c>
      <c r="C43" s="25">
        <v>2803.2</v>
      </c>
      <c r="D43" s="25">
        <v>10094.0</v>
      </c>
      <c r="E43" s="26">
        <v>0.289</v>
      </c>
      <c r="F43" s="26">
        <v>0.172</v>
      </c>
      <c r="G43" s="27">
        <v>441.8</v>
      </c>
      <c r="H43" s="27">
        <v>1388.3</v>
      </c>
      <c r="I43" s="26">
        <v>0.46</v>
      </c>
      <c r="J43" s="26">
        <v>0.348</v>
      </c>
      <c r="K43" s="28" t="s">
        <v>3</v>
      </c>
      <c r="L43" s="33" t="s">
        <v>949</v>
      </c>
    </row>
    <row r="44" spans="8:8" ht="66.6">
      <c r="A44" s="22"/>
      <c r="B44" s="23" t="s">
        <v>950</v>
      </c>
      <c r="C44" s="25">
        <v>429.99</v>
      </c>
      <c r="D44" s="25">
        <v>2099.16</v>
      </c>
      <c r="E44" s="26">
        <v>0.244</v>
      </c>
      <c r="F44" s="26">
        <v>0.423</v>
      </c>
      <c r="G44" s="41">
        <v>67.85</v>
      </c>
      <c r="H44" s="27">
        <v>371.27</v>
      </c>
      <c r="I44" s="26">
        <v>0.329</v>
      </c>
      <c r="J44" s="26">
        <v>0.805</v>
      </c>
      <c r="K44" s="28"/>
      <c r="L44" s="33" t="s">
        <v>951</v>
      </c>
    </row>
    <row r="45" spans="8:8" ht="66.6">
      <c r="A45" s="22"/>
      <c r="B45" s="23" t="s">
        <v>952</v>
      </c>
      <c r="C45" s="25">
        <v>943.85</v>
      </c>
      <c r="D45" s="25">
        <v>3938.49</v>
      </c>
      <c r="E45" s="26">
        <v>0.239</v>
      </c>
      <c r="F45" s="26">
        <v>0.221</v>
      </c>
      <c r="G45" s="27">
        <v>133.4</v>
      </c>
      <c r="H45" s="27">
        <v>594.1</v>
      </c>
      <c r="I45" s="26">
        <v>0.331</v>
      </c>
      <c r="J45" s="26">
        <v>0.458</v>
      </c>
      <c r="K45" s="28"/>
      <c r="L45" s="33" t="s">
        <v>953</v>
      </c>
    </row>
    <row r="46" spans="8:8" ht="66.6">
      <c r="A46" s="22"/>
      <c r="B46" s="23" t="s">
        <v>954</v>
      </c>
      <c r="C46" s="25">
        <v>1199.97</v>
      </c>
      <c r="D46" s="25">
        <v>4636.08</v>
      </c>
      <c r="E46" s="26">
        <v>0.42</v>
      </c>
      <c r="F46" s="26">
        <v>0.32</v>
      </c>
      <c r="G46" s="41">
        <v>-17.22</v>
      </c>
      <c r="H46" s="27">
        <v>113.47</v>
      </c>
      <c r="I46" s="26" t="s">
        <v>955</v>
      </c>
      <c r="J46" s="26" t="s">
        <v>956</v>
      </c>
      <c r="K46" s="28"/>
      <c r="L46" s="33" t="s">
        <v>957</v>
      </c>
    </row>
    <row r="47" spans="8:8" ht="44.4">
      <c r="A47" s="22"/>
      <c r="B47" s="23" t="s">
        <v>958</v>
      </c>
      <c r="C47" s="25">
        <v>1190.0</v>
      </c>
      <c r="D47" s="25">
        <v>5328.0</v>
      </c>
      <c r="E47" s="26">
        <v>0.329</v>
      </c>
      <c r="F47" s="26">
        <v>0.434</v>
      </c>
      <c r="G47" s="27">
        <v>-545.0</v>
      </c>
      <c r="H47" s="27">
        <v>-2146.0</v>
      </c>
      <c r="I47" s="26" t="s">
        <v>959</v>
      </c>
      <c r="J47" s="26" t="s">
        <v>959</v>
      </c>
      <c r="K47" s="28"/>
      <c r="L47" s="33" t="s">
        <v>960</v>
      </c>
    </row>
    <row r="48" spans="8:8">
      <c r="A48" s="22"/>
      <c r="B48" s="23" t="s">
        <v>961</v>
      </c>
      <c r="C48" s="25">
        <v>880.79</v>
      </c>
      <c r="D48" s="25">
        <v>3444.71</v>
      </c>
      <c r="E48" s="26">
        <v>0.363</v>
      </c>
      <c r="F48" s="26">
        <v>0.3</v>
      </c>
      <c r="G48" s="41">
        <v>-125.79</v>
      </c>
      <c r="H48" s="27">
        <v>-600.5</v>
      </c>
      <c r="I48" s="26" t="s">
        <v>955</v>
      </c>
      <c r="J48" s="26" t="s">
        <v>955</v>
      </c>
      <c r="K48" s="28"/>
      <c r="L48" s="33" t="s">
        <v>962</v>
      </c>
    </row>
    <row r="49" spans="8:8" ht="44.4">
      <c r="A49" s="42" t="s">
        <v>963</v>
      </c>
      <c r="B49" s="23" t="s">
        <v>964</v>
      </c>
      <c r="C49" s="25">
        <v>326.5</v>
      </c>
      <c r="D49" s="25">
        <v>1582.3</v>
      </c>
      <c r="E49" s="26">
        <v>0.22</v>
      </c>
      <c r="F49" s="26">
        <v>0.194</v>
      </c>
      <c r="G49" s="27">
        <v>-17.0</v>
      </c>
      <c r="H49" s="27">
        <v>-60.0</v>
      </c>
      <c r="I49" s="26" t="s">
        <v>959</v>
      </c>
      <c r="J49" s="26" t="s">
        <v>965</v>
      </c>
      <c r="K49" s="28"/>
      <c r="L49" s="33" t="s">
        <v>966</v>
      </c>
    </row>
    <row r="50" spans="8:8" ht="44.4">
      <c r="A50" s="42"/>
      <c r="B50" s="23" t="s">
        <v>967</v>
      </c>
      <c r="C50" s="25">
        <v>150.8</v>
      </c>
      <c r="D50" s="25">
        <v>558.5</v>
      </c>
      <c r="E50" s="26">
        <v>0.187</v>
      </c>
      <c r="F50" s="26">
        <v>0.155</v>
      </c>
      <c r="G50" s="41">
        <v>14.86</v>
      </c>
      <c r="H50" s="27">
        <v>24.57</v>
      </c>
      <c r="I50" s="26">
        <v>-0.666</v>
      </c>
      <c r="J50" s="26">
        <v>-0.275</v>
      </c>
      <c r="K50" s="28"/>
      <c r="L50" s="33" t="s">
        <v>968</v>
      </c>
    </row>
    <row r="51" spans="8:8" ht="44.4">
      <c r="A51" s="42"/>
      <c r="B51" s="23" t="s">
        <v>969</v>
      </c>
      <c r="C51" s="25">
        <v>238.96</v>
      </c>
      <c r="D51" s="25">
        <v>954.4</v>
      </c>
      <c r="E51" s="26">
        <v>0.332</v>
      </c>
      <c r="F51" s="26">
        <v>0.299</v>
      </c>
      <c r="G51" s="27">
        <v>36.0</v>
      </c>
      <c r="H51" s="27">
        <v>120.8</v>
      </c>
      <c r="I51" s="26">
        <v>0.208</v>
      </c>
      <c r="J51" s="26">
        <v>0.383</v>
      </c>
      <c r="K51" s="28"/>
      <c r="L51" s="33" t="s">
        <v>970</v>
      </c>
    </row>
    <row r="52" spans="8:8">
      <c r="A52" s="22" t="s">
        <v>646</v>
      </c>
      <c r="B52" s="32" t="s">
        <v>971</v>
      </c>
      <c r="C52" s="24">
        <v>72500.0</v>
      </c>
      <c r="D52" s="25">
        <v>404230.0</v>
      </c>
      <c r="E52" s="26">
        <v>0.16</v>
      </c>
      <c r="F52" s="26">
        <v>0.22</v>
      </c>
      <c r="G52" s="24">
        <v>4350.0</v>
      </c>
      <c r="H52" s="27">
        <v>22232.0</v>
      </c>
      <c r="I52" s="26">
        <v>0.21</v>
      </c>
      <c r="J52" s="26">
        <v>0.34</v>
      </c>
      <c r="K52" s="28"/>
      <c r="L52" s="35" t="s">
        <v>972</v>
      </c>
    </row>
    <row r="53" spans="8:8">
      <c r="A53" s="22"/>
      <c r="B53" s="32" t="s">
        <v>973</v>
      </c>
      <c r="C53" s="24">
        <v>12700.0</v>
      </c>
      <c r="D53" s="25">
        <v>57343.0</v>
      </c>
      <c r="E53" s="26">
        <v>0.05</v>
      </c>
      <c r="F53" s="26">
        <v>0.11</v>
      </c>
      <c r="G53" s="24">
        <v>370.0</v>
      </c>
      <c r="H53" s="27">
        <v>3200.0</v>
      </c>
      <c r="I53" s="26">
        <v>0.02</v>
      </c>
      <c r="J53" s="26">
        <v>0.4</v>
      </c>
      <c r="K53" s="28"/>
      <c r="L53" s="35" t="s">
        <v>974</v>
      </c>
    </row>
    <row r="54" spans="8:8">
      <c r="A54" s="22"/>
      <c r="B54" s="32" t="s">
        <v>975</v>
      </c>
      <c r="C54" s="24">
        <v>3350.0</v>
      </c>
      <c r="D54" s="25">
        <v>13866.0</v>
      </c>
      <c r="E54" s="26">
        <v>0.45</v>
      </c>
      <c r="F54" s="26">
        <v>0.54</v>
      </c>
      <c r="G54" s="24">
        <v>1072.0</v>
      </c>
      <c r="H54" s="27">
        <v>4437.0</v>
      </c>
      <c r="I54" s="26">
        <v>0.52</v>
      </c>
      <c r="J54" s="26">
        <v>0.69</v>
      </c>
      <c r="K54" s="28" t="s">
        <v>3</v>
      </c>
      <c r="L54" s="35" t="s">
        <v>976</v>
      </c>
    </row>
    <row r="55" spans="8:8">
      <c r="A55" s="22"/>
      <c r="B55" s="32" t="s">
        <v>977</v>
      </c>
      <c r="C55" s="24">
        <v>2150.0</v>
      </c>
      <c r="D55" s="25">
        <v>8832.0</v>
      </c>
      <c r="E55" s="26">
        <v>0.22</v>
      </c>
      <c r="F55" s="26">
        <v>0.31</v>
      </c>
      <c r="G55" s="24">
        <v>270.0</v>
      </c>
      <c r="H55" s="27">
        <v>1237.0</v>
      </c>
      <c r="I55" s="26">
        <v>0.07</v>
      </c>
      <c r="J55" s="26">
        <v>0.21</v>
      </c>
      <c r="K55" s="28" t="s">
        <v>3</v>
      </c>
      <c r="L55" s="33" t="s">
        <v>978</v>
      </c>
    </row>
    <row r="56" spans="8:8">
      <c r="A56" s="22"/>
      <c r="B56" s="32" t="s">
        <v>979</v>
      </c>
      <c r="C56" s="24">
        <v>1850.0</v>
      </c>
      <c r="D56" s="25">
        <v>7734.0</v>
      </c>
      <c r="E56" s="26">
        <v>0.2</v>
      </c>
      <c r="F56" s="26">
        <v>0.41</v>
      </c>
      <c r="G56" s="24">
        <v>240.0</v>
      </c>
      <c r="H56" s="27">
        <v>1005.0</v>
      </c>
      <c r="I56" s="26">
        <v>0.16</v>
      </c>
      <c r="J56" s="26">
        <v>0.49</v>
      </c>
      <c r="K56" s="28"/>
      <c r="L56" s="33" t="s">
        <v>980</v>
      </c>
    </row>
    <row r="57" spans="8:8">
      <c r="A57" s="22"/>
      <c r="B57" s="32" t="s">
        <v>981</v>
      </c>
      <c r="C57" s="43">
        <v>567.0</v>
      </c>
      <c r="D57" s="24">
        <v>2184.0</v>
      </c>
      <c r="E57" s="37">
        <v>0.76</v>
      </c>
      <c r="F57" s="37">
        <v>0.42</v>
      </c>
      <c r="G57" s="24">
        <v>170.0</v>
      </c>
      <c r="H57" s="24">
        <v>701.0</v>
      </c>
      <c r="I57" s="37">
        <v>1.94</v>
      </c>
      <c r="J57" s="37">
        <v>0.8</v>
      </c>
      <c r="K57" s="28" t="s">
        <v>3</v>
      </c>
      <c r="L57" s="35" t="s">
        <v>982</v>
      </c>
    </row>
    <row r="58" spans="8:8" ht="66.6">
      <c r="A58" s="31" t="s">
        <v>983</v>
      </c>
      <c r="B58" s="44" t="s">
        <v>984</v>
      </c>
      <c r="C58" s="24">
        <v>91239.0</v>
      </c>
      <c r="D58" s="25">
        <v>429888.0</v>
      </c>
      <c r="E58" s="26">
        <v>0.95</v>
      </c>
      <c r="F58" s="26">
        <v>0.99</v>
      </c>
      <c r="G58" s="24">
        <v>51500.0</v>
      </c>
      <c r="H58" s="27">
        <v>227600.0</v>
      </c>
      <c r="I58" s="26">
        <v>1.0</v>
      </c>
      <c r="J58" s="26">
        <v>0.895</v>
      </c>
      <c r="K58" s="28" t="s">
        <v>3</v>
      </c>
      <c r="L58" s="33" t="s">
        <v>985</v>
      </c>
    </row>
    <row r="59" spans="8:8">
      <c r="A59" s="31"/>
      <c r="B59" s="44" t="s">
        <v>986</v>
      </c>
      <c r="C59" s="24">
        <v>40000.0</v>
      </c>
      <c r="D59" s="25">
        <v>125180.0</v>
      </c>
      <c r="E59" s="26">
        <v>0.33</v>
      </c>
      <c r="F59" s="26">
        <v>0.37</v>
      </c>
      <c r="G59" s="24">
        <v>19800.0</v>
      </c>
      <c r="H59" s="27">
        <v>83300.0</v>
      </c>
      <c r="I59" s="26">
        <v>0.54</v>
      </c>
      <c r="J59" s="26">
        <v>0.53</v>
      </c>
      <c r="K59" s="28" t="s">
        <v>3</v>
      </c>
      <c r="L59" s="33" t="s">
        <v>987</v>
      </c>
    </row>
    <row r="60" spans="8:8">
      <c r="A60" s="31"/>
      <c r="B60" s="44" t="s">
        <v>988</v>
      </c>
      <c r="C60" s="24">
        <v>29931.0</v>
      </c>
      <c r="D60" s="25">
        <v>108269.0</v>
      </c>
      <c r="E60" s="26">
        <v>0.8763</v>
      </c>
      <c r="F60" s="26">
        <v>0.695</v>
      </c>
      <c r="G60" s="24">
        <v>15900.0</v>
      </c>
      <c r="H60" s="27">
        <v>51722.0</v>
      </c>
      <c r="I60" s="26">
        <v>0.89</v>
      </c>
      <c r="J60" s="26">
        <v>0.534</v>
      </c>
      <c r="K60" s="28"/>
      <c r="L60" s="33" t="s">
        <v>989</v>
      </c>
    </row>
    <row r="61" spans="8:8" ht="66.6">
      <c r="A61" s="31"/>
      <c r="B61" s="44" t="s">
        <v>990</v>
      </c>
      <c r="C61" s="24">
        <v>4450.0</v>
      </c>
      <c r="D61" s="25">
        <v>19273.0</v>
      </c>
      <c r="E61" s="26">
        <v>0.67</v>
      </c>
      <c r="F61" s="26">
        <v>0.555</v>
      </c>
      <c r="G61" s="24">
        <v>260.0</v>
      </c>
      <c r="H61" s="27">
        <v>1179.0</v>
      </c>
      <c r="I61" s="26">
        <v>0.557</v>
      </c>
      <c r="J61" s="26">
        <v>0.68</v>
      </c>
      <c r="K61" s="28"/>
      <c r="L61" s="33" t="s">
        <v>991</v>
      </c>
    </row>
    <row r="62" spans="8:8" ht="44.4">
      <c r="A62" s="31"/>
      <c r="B62" s="44" t="s">
        <v>992</v>
      </c>
      <c r="C62" s="24">
        <v>11200.0</v>
      </c>
      <c r="D62" s="25">
        <v>55306.0</v>
      </c>
      <c r="E62" s="26">
        <v>0.46</v>
      </c>
      <c r="F62" s="26">
        <v>0.5966</v>
      </c>
      <c r="G62" s="24">
        <v>2650.0</v>
      </c>
      <c r="H62" s="27">
        <v>13391.0</v>
      </c>
      <c r="I62" s="26">
        <v>2.39</v>
      </c>
      <c r="J62" s="26">
        <v>0.96</v>
      </c>
      <c r="K62" s="28"/>
      <c r="L62" s="33" t="s">
        <v>993</v>
      </c>
    </row>
    <row r="63" spans="8:8" ht="44.4">
      <c r="A63" s="31"/>
      <c r="B63" s="44" t="s">
        <v>994</v>
      </c>
      <c r="C63" s="24">
        <v>470.0</v>
      </c>
      <c r="D63" s="25">
        <v>2451.0</v>
      </c>
      <c r="E63" s="26">
        <v>1.1</v>
      </c>
      <c r="F63" s="26">
        <v>0.84</v>
      </c>
      <c r="G63" s="24">
        <v>230.0</v>
      </c>
      <c r="H63" s="27">
        <v>960.0</v>
      </c>
      <c r="I63" s="26">
        <v>1.34</v>
      </c>
      <c r="J63" s="26">
        <v>0.48</v>
      </c>
      <c r="K63" s="28"/>
      <c r="L63" s="33" t="s">
        <v>995</v>
      </c>
    </row>
    <row r="64" spans="8:8">
      <c r="A64" s="45"/>
      <c r="B64" s="45"/>
      <c r="C64" s="45"/>
      <c r="D64" s="45"/>
      <c r="E64" s="45"/>
      <c r="F64" s="45"/>
      <c r="G64" s="45"/>
      <c r="H64" s="45"/>
      <c r="I64" s="45"/>
      <c r="J64" s="45"/>
      <c r="K64" s="45"/>
      <c r="L64" s="45"/>
    </row>
    <row r="65" spans="8:8" ht="28.2">
      <c r="A65" s="46" t="s">
        <v>69</v>
      </c>
      <c r="B65" s="47"/>
      <c r="C65" s="47"/>
      <c r="D65" s="47"/>
      <c r="E65" s="47"/>
      <c r="F65" s="47"/>
      <c r="G65" s="47"/>
      <c r="H65" s="47"/>
      <c r="I65" s="47"/>
      <c r="J65" s="47"/>
      <c r="K65" s="47"/>
      <c r="L65" s="48"/>
    </row>
    <row r="66" spans="8:8" ht="58.2" customHeight="1">
      <c r="A66" s="49" t="s">
        <v>0</v>
      </c>
      <c r="B66" s="50" t="s">
        <v>1</v>
      </c>
      <c r="C66" s="51" t="s">
        <v>70</v>
      </c>
      <c r="D66" s="52"/>
      <c r="E66" s="53" t="s">
        <v>2</v>
      </c>
      <c r="F66" s="54"/>
      <c r="G66" s="53" t="s">
        <v>25</v>
      </c>
      <c r="H66" s="54"/>
      <c r="I66" s="53" t="s">
        <v>8</v>
      </c>
      <c r="J66" s="55"/>
      <c r="K66" s="56" t="s">
        <v>71</v>
      </c>
      <c r="L66" s="57" t="s">
        <v>5</v>
      </c>
    </row>
    <row r="67" spans="8:8" ht="23.4">
      <c r="A67" s="58"/>
      <c r="B67" s="16"/>
      <c r="C67" s="17" t="s">
        <v>72</v>
      </c>
      <c r="D67" s="18">
        <v>2026.0</v>
      </c>
      <c r="E67" s="17" t="s">
        <v>72</v>
      </c>
      <c r="F67" s="18">
        <v>2026.0</v>
      </c>
      <c r="G67" s="17" t="s">
        <v>72</v>
      </c>
      <c r="H67" s="18">
        <v>2026.0</v>
      </c>
      <c r="I67" s="17" t="s">
        <v>72</v>
      </c>
      <c r="J67" s="18">
        <v>2026.0</v>
      </c>
      <c r="K67" s="20"/>
      <c r="L67" s="21"/>
    </row>
    <row r="68" spans="8:8" ht="34.2" customHeight="1">
      <c r="A68" s="24" t="s">
        <v>26</v>
      </c>
      <c r="B68" s="59" t="s">
        <v>17</v>
      </c>
      <c r="C68" s="60">
        <v>45.0</v>
      </c>
      <c r="D68" s="61">
        <v>156.86</v>
      </c>
      <c r="E68" s="62">
        <v>1.543</v>
      </c>
      <c r="F68" s="62">
        <v>1.4143</v>
      </c>
      <c r="G68" s="60">
        <v>18.0</v>
      </c>
      <c r="H68" s="61">
        <v>51.22</v>
      </c>
      <c r="I68" s="62">
        <v>1.637</v>
      </c>
      <c r="J68" s="62">
        <v>1.4874</v>
      </c>
      <c r="K68" s="62" t="s">
        <v>3</v>
      </c>
      <c r="L68" s="63" t="s">
        <v>27</v>
      </c>
    </row>
    <row r="69" spans="8:8" ht="44.4">
      <c r="A69" s="64" t="s">
        <v>28</v>
      </c>
      <c r="B69" s="65" t="s">
        <v>29</v>
      </c>
      <c r="C69" s="60">
        <v>289.12</v>
      </c>
      <c r="D69" s="60">
        <v>937.56</v>
      </c>
      <c r="E69" s="62">
        <v>1.33</v>
      </c>
      <c r="F69" s="62">
        <v>1.4518</v>
      </c>
      <c r="G69" s="60">
        <v>85.0</v>
      </c>
      <c r="H69" s="60">
        <v>298.07</v>
      </c>
      <c r="I69" s="62">
        <v>2.524</v>
      </c>
      <c r="J69" s="62">
        <v>1.7606</v>
      </c>
      <c r="K69" s="62" t="s">
        <v>3</v>
      </c>
      <c r="L69" s="66" t="s">
        <v>73</v>
      </c>
    </row>
    <row r="70" spans="8:8" ht="44.4">
      <c r="A70" s="64"/>
      <c r="B70" s="67" t="s">
        <v>30</v>
      </c>
      <c r="C70" s="60">
        <v>114.11</v>
      </c>
      <c r="D70" s="60">
        <v>490.98</v>
      </c>
      <c r="E70" s="62">
        <v>0.787</v>
      </c>
      <c r="F70" s="62">
        <v>0.9764</v>
      </c>
      <c r="G70" s="60">
        <v>38.0</v>
      </c>
      <c r="H70" s="60">
        <v>185.34</v>
      </c>
      <c r="I70" s="62">
        <v>0.603</v>
      </c>
      <c r="J70" s="62">
        <v>0.9445</v>
      </c>
      <c r="K70" s="62"/>
      <c r="L70" s="66" t="s">
        <v>74</v>
      </c>
    </row>
    <row r="71" spans="8:8" ht="44.4">
      <c r="A71" s="64"/>
      <c r="B71" s="65" t="s">
        <v>31</v>
      </c>
      <c r="C71" s="60">
        <v>16.22</v>
      </c>
      <c r="D71" s="60">
        <v>87.42</v>
      </c>
      <c r="E71" s="62">
        <v>0.074</v>
      </c>
      <c r="F71" s="62">
        <v>0.6931</v>
      </c>
      <c r="G71" s="60">
        <v>6.0</v>
      </c>
      <c r="H71" s="60">
        <v>33.3</v>
      </c>
      <c r="I71" s="62">
        <v>0.068</v>
      </c>
      <c r="J71" s="62">
        <v>0.6508</v>
      </c>
      <c r="K71" s="62"/>
      <c r="L71" s="66" t="s">
        <v>75</v>
      </c>
    </row>
    <row r="72" spans="8:8" ht="44.4">
      <c r="A72" s="64"/>
      <c r="B72" s="67" t="s">
        <v>32</v>
      </c>
      <c r="C72" s="60">
        <v>4.95</v>
      </c>
      <c r="D72" s="60">
        <v>16.59</v>
      </c>
      <c r="E72" s="62">
        <v>3.106</v>
      </c>
      <c r="F72" s="62">
        <v>1.7583</v>
      </c>
      <c r="G72" s="60">
        <v>2.5</v>
      </c>
      <c r="H72" s="60">
        <v>7.72</v>
      </c>
      <c r="I72" s="62">
        <v>6.74</v>
      </c>
      <c r="J72" s="62">
        <v>3.0456</v>
      </c>
      <c r="K72" s="62" t="s">
        <v>3</v>
      </c>
      <c r="L72" s="66" t="s">
        <v>76</v>
      </c>
    </row>
    <row r="73" spans="8:8" ht="44.4">
      <c r="A73" s="64"/>
      <c r="B73" s="65" t="s">
        <v>77</v>
      </c>
      <c r="C73" s="60">
        <v>9.33</v>
      </c>
      <c r="D73" s="60">
        <v>28.77</v>
      </c>
      <c r="E73" s="62">
        <v>1.037</v>
      </c>
      <c r="F73" s="62">
        <v>0.8599</v>
      </c>
      <c r="G73" s="61">
        <v>1.8</v>
      </c>
      <c r="H73" s="60">
        <v>6.28</v>
      </c>
      <c r="I73" s="62">
        <v>0.918</v>
      </c>
      <c r="J73" s="62">
        <v>1.1022</v>
      </c>
      <c r="K73" s="62"/>
      <c r="L73" s="66" t="s">
        <v>78</v>
      </c>
    </row>
    <row r="74" spans="8:8" ht="44.4">
      <c r="A74" s="64"/>
      <c r="B74" s="67" t="s">
        <v>79</v>
      </c>
      <c r="C74" s="60">
        <v>403.23</v>
      </c>
      <c r="D74" s="60">
        <v>838.83</v>
      </c>
      <c r="E74" s="62">
        <v>1.147</v>
      </c>
      <c r="F74" s="62">
        <v>0.2547</v>
      </c>
      <c r="G74" s="60">
        <v>25.0</v>
      </c>
      <c r="H74" s="60">
        <v>69.58</v>
      </c>
      <c r="I74" s="62">
        <v>1.367</v>
      </c>
      <c r="J74" s="62">
        <v>1.5961</v>
      </c>
      <c r="K74" s="62" t="s">
        <v>3</v>
      </c>
      <c r="L74" s="66" t="s">
        <v>80</v>
      </c>
    </row>
    <row r="75" spans="8:8">
      <c r="A75" s="68"/>
      <c r="B75" s="68"/>
      <c r="C75" s="68"/>
      <c r="D75" s="68"/>
      <c r="E75" s="68"/>
      <c r="F75" s="68"/>
      <c r="G75" s="68"/>
      <c r="H75" s="68"/>
      <c r="I75" s="68"/>
      <c r="J75" s="68"/>
      <c r="K75" s="68"/>
      <c r="L75" s="68"/>
    </row>
    <row r="76" spans="8:8">
      <c r="A76" s="69" t="s">
        <v>33</v>
      </c>
      <c r="B76" s="70"/>
      <c r="C76" s="70"/>
      <c r="D76" s="70"/>
      <c r="E76" s="70"/>
      <c r="F76" s="70"/>
      <c r="G76" s="70"/>
      <c r="H76" s="70"/>
      <c r="I76" s="70"/>
      <c r="J76" s="70"/>
      <c r="K76" s="70"/>
      <c r="L76" s="70"/>
    </row>
    <row r="77" spans="8:8" ht="76.2" customHeight="1">
      <c r="A77" s="71" t="s">
        <v>0</v>
      </c>
      <c r="B77" s="72" t="s">
        <v>1</v>
      </c>
      <c r="C77" s="73" t="s">
        <v>81</v>
      </c>
      <c r="D77" s="74"/>
      <c r="E77" s="75" t="s">
        <v>34</v>
      </c>
      <c r="F77" s="74"/>
      <c r="G77" s="75" t="s">
        <v>82</v>
      </c>
      <c r="H77" s="74"/>
      <c r="I77" s="76" t="s">
        <v>35</v>
      </c>
      <c r="J77" s="77"/>
      <c r="K77" s="78" t="s">
        <v>71</v>
      </c>
      <c r="L77" s="79" t="s">
        <v>5</v>
      </c>
    </row>
    <row r="78" spans="8:8" ht="23.4">
      <c r="A78" s="80"/>
      <c r="B78" s="81"/>
      <c r="C78" s="82" t="s">
        <v>72</v>
      </c>
      <c r="D78" s="83">
        <v>2026.0</v>
      </c>
      <c r="E78" s="82" t="s">
        <v>72</v>
      </c>
      <c r="F78" s="83">
        <v>2026.0</v>
      </c>
      <c r="G78" s="82" t="s">
        <v>72</v>
      </c>
      <c r="H78" s="83">
        <v>2026.0</v>
      </c>
      <c r="I78" s="82" t="s">
        <v>72</v>
      </c>
      <c r="J78" s="83">
        <v>2026.0</v>
      </c>
      <c r="K78" s="81"/>
      <c r="L78" s="84"/>
    </row>
    <row r="79" spans="8:8">
      <c r="A79" s="85" t="s">
        <v>83</v>
      </c>
      <c r="B79" s="86" t="s">
        <v>17</v>
      </c>
      <c r="C79" s="87">
        <v>4500.0</v>
      </c>
      <c r="D79" s="87"/>
      <c r="E79" s="88">
        <f>45/18-1</f>
        <v>1.5</v>
      </c>
      <c r="F79" s="89"/>
      <c r="G79" s="87">
        <v>15.0</v>
      </c>
      <c r="H79" s="89"/>
      <c r="I79" s="88">
        <v>3.0</v>
      </c>
      <c r="J79" s="90"/>
      <c r="K79" s="62"/>
      <c r="L79" s="63"/>
    </row>
    <row r="80" spans="8:8">
      <c r="A80" s="91"/>
      <c r="B80" s="86" t="s">
        <v>18</v>
      </c>
      <c r="C80" s="87">
        <v>5515.36</v>
      </c>
      <c r="D80" s="87">
        <v>22296.22</v>
      </c>
      <c r="E80" s="88">
        <v>0.8</v>
      </c>
      <c r="F80" s="88">
        <v>0.5508</v>
      </c>
      <c r="G80" s="87">
        <v>1217.23</v>
      </c>
      <c r="H80" s="87">
        <v>4502.92</v>
      </c>
      <c r="I80" s="88">
        <v>0.75</v>
      </c>
      <c r="J80" s="88">
        <v>0.7694</v>
      </c>
      <c r="K80" s="62"/>
      <c r="L80" s="63"/>
    </row>
    <row r="81" spans="8:8">
      <c r="A81" s="91"/>
      <c r="B81" s="86" t="s">
        <v>47</v>
      </c>
      <c r="C81" s="87">
        <v>3851.2</v>
      </c>
      <c r="D81" s="87">
        <v>17686.62</v>
      </c>
      <c r="E81" s="88">
        <v>0.18</v>
      </c>
      <c r="F81" s="88">
        <v>0.182</v>
      </c>
      <c r="G81" s="87">
        <v>677.73</v>
      </c>
      <c r="H81" s="87">
        <v>2912.02</v>
      </c>
      <c r="I81" s="88">
        <v>0.25</v>
      </c>
      <c r="J81" s="88">
        <v>0.3381</v>
      </c>
      <c r="K81" s="62"/>
      <c r="L81" s="63"/>
    </row>
    <row r="82" spans="8:8">
      <c r="A82" s="92" t="s">
        <v>36</v>
      </c>
      <c r="B82" s="86" t="s">
        <v>37</v>
      </c>
      <c r="C82" s="87"/>
      <c r="D82" s="87">
        <v>104196.0</v>
      </c>
      <c r="E82" s="88"/>
      <c r="F82" s="88">
        <v>0.09</v>
      </c>
      <c r="G82" s="87"/>
      <c r="H82" s="87">
        <v>15714.0</v>
      </c>
      <c r="I82" s="88"/>
      <c r="J82" s="88">
        <v>0.13</v>
      </c>
      <c r="K82" s="62"/>
      <c r="L82" s="66"/>
    </row>
    <row r="83" spans="8:8">
      <c r="A83" s="91"/>
      <c r="B83" s="86" t="s">
        <v>38</v>
      </c>
      <c r="C83" s="87">
        <v>7191.09</v>
      </c>
      <c r="D83" s="87">
        <v>32997.25</v>
      </c>
      <c r="E83" s="88">
        <v>0.15</v>
      </c>
      <c r="F83" s="88">
        <v>0.1903</v>
      </c>
      <c r="G83" s="87">
        <v>-31.97</v>
      </c>
      <c r="H83" s="87">
        <v>1243.42</v>
      </c>
      <c r="I83" s="88">
        <v>0.3</v>
      </c>
      <c r="J83" s="88">
        <v>0.3956</v>
      </c>
      <c r="K83" s="62"/>
      <c r="L83" s="66"/>
    </row>
    <row r="84" spans="8:8">
      <c r="A84" s="91"/>
      <c r="B84" s="86" t="s">
        <v>39</v>
      </c>
      <c r="C84" s="87"/>
      <c r="D84" s="87">
        <v>36509.0</v>
      </c>
      <c r="E84" s="88"/>
      <c r="F84" s="88">
        <v>0.08</v>
      </c>
      <c r="G84" s="87"/>
      <c r="H84" s="87">
        <v>4016.0</v>
      </c>
      <c r="I84" s="88"/>
      <c r="J84" s="88">
        <v>0.03</v>
      </c>
      <c r="K84" s="62"/>
      <c r="L84" s="66"/>
    </row>
    <row r="85" spans="8:8">
      <c r="A85" s="91"/>
      <c r="B85" s="86" t="s">
        <v>40</v>
      </c>
      <c r="C85" s="87">
        <v>127.02</v>
      </c>
      <c r="D85" s="87">
        <v>517.46</v>
      </c>
      <c r="E85" s="88">
        <v>0.06</v>
      </c>
      <c r="F85" s="88">
        <v>0.0815</v>
      </c>
      <c r="G85" s="87">
        <v>-43.1</v>
      </c>
      <c r="H85" s="87">
        <v>-193.56</v>
      </c>
      <c r="I85" s="88">
        <v>0.15</v>
      </c>
      <c r="J85" s="88">
        <v>0.1607</v>
      </c>
      <c r="K85" s="62"/>
      <c r="L85" s="66"/>
    </row>
    <row r="86" spans="8:8">
      <c r="A86" s="92" t="s">
        <v>41</v>
      </c>
      <c r="B86" s="86" t="s">
        <v>42</v>
      </c>
      <c r="C86" s="87"/>
      <c r="D86" s="87">
        <v>38663.91</v>
      </c>
      <c r="E86" s="88"/>
      <c r="F86" s="88">
        <v>0.1876</v>
      </c>
      <c r="G86" s="87"/>
      <c r="H86" s="87">
        <v>3036.05</v>
      </c>
      <c r="I86" s="88"/>
      <c r="J86" s="88">
        <v>0.2374</v>
      </c>
      <c r="K86" s="62"/>
      <c r="L86" s="66"/>
    </row>
    <row r="87" spans="8:8">
      <c r="A87" s="91"/>
      <c r="B87" s="86" t="s">
        <v>43</v>
      </c>
      <c r="C87" s="87"/>
      <c r="D87" s="87">
        <v>8873.63</v>
      </c>
      <c r="E87" s="88"/>
      <c r="F87" s="88">
        <v>0.2958</v>
      </c>
      <c r="G87" s="87"/>
      <c r="H87" s="87">
        <v>319.96</v>
      </c>
      <c r="I87" s="88"/>
      <c r="J87" s="88">
        <v>2.2145</v>
      </c>
      <c r="K87" s="62"/>
      <c r="L87" s="66"/>
    </row>
    <row r="88" spans="8:8">
      <c r="A88" s="91"/>
      <c r="B88" s="86" t="s">
        <v>44</v>
      </c>
      <c r="C88" s="87"/>
      <c r="D88" s="87">
        <v>8903.4</v>
      </c>
      <c r="E88" s="88"/>
      <c r="F88" s="88">
        <v>0.229</v>
      </c>
      <c r="G88" s="87"/>
      <c r="H88" s="87">
        <v>662.87</v>
      </c>
      <c r="I88" s="88"/>
      <c r="J88" s="88">
        <v>0.2238</v>
      </c>
      <c r="K88" s="62"/>
      <c r="L88" s="66"/>
    </row>
    <row r="89" spans="8:8">
      <c r="A89" s="92" t="s">
        <v>45</v>
      </c>
      <c r="B89" s="86" t="s">
        <v>46</v>
      </c>
      <c r="C89" s="87">
        <v>344.44</v>
      </c>
      <c r="D89" s="87">
        <v>1697.6</v>
      </c>
      <c r="E89" s="88">
        <v>0.3</v>
      </c>
      <c r="F89" s="88">
        <v>0.3</v>
      </c>
      <c r="G89" s="87">
        <v>138.47</v>
      </c>
      <c r="H89" s="87">
        <v>671.93</v>
      </c>
      <c r="I89" s="88">
        <v>0.3</v>
      </c>
      <c r="J89" s="88">
        <v>0.3</v>
      </c>
      <c r="K89" s="62"/>
      <c r="L89" s="66"/>
    </row>
    <row r="90" spans="8:8">
      <c r="A90" s="91"/>
      <c r="B90" s="86" t="s">
        <v>48</v>
      </c>
      <c r="C90" s="87">
        <v>1761.5</v>
      </c>
      <c r="D90" s="87">
        <v>6920.22</v>
      </c>
      <c r="E90" s="88">
        <v>0.1</v>
      </c>
      <c r="F90" s="88">
        <v>0.12</v>
      </c>
      <c r="G90" s="87">
        <v>9.15</v>
      </c>
      <c r="H90" s="87">
        <v>-18.0</v>
      </c>
      <c r="I90" s="88">
        <v>0.5</v>
      </c>
      <c r="J90" s="88">
        <v>0.6</v>
      </c>
      <c r="K90" s="62"/>
      <c r="L90" s="66"/>
    </row>
    <row r="91" spans="8:8">
      <c r="A91" s="92"/>
      <c r="B91" s="86" t="s">
        <v>49</v>
      </c>
      <c r="C91" s="87">
        <v>2623.71</v>
      </c>
      <c r="D91" s="87">
        <v>9526.12</v>
      </c>
      <c r="E91" s="88">
        <v>0.1</v>
      </c>
      <c r="F91" s="88">
        <v>0.12</v>
      </c>
      <c r="G91" s="87">
        <v>-0.27</v>
      </c>
      <c r="H91" s="87">
        <v>80.0</v>
      </c>
      <c r="I91" s="88">
        <v>0.8</v>
      </c>
      <c r="J91" s="88">
        <v>1.2</v>
      </c>
      <c r="K91" s="62"/>
      <c r="L91" s="66"/>
    </row>
    <row r="92" spans="8:8">
      <c r="A92" s="91"/>
      <c r="B92" s="86" t="s">
        <v>50</v>
      </c>
      <c r="C92" s="87">
        <v>42195.5</v>
      </c>
      <c r="D92" s="87">
        <v>152888.86</v>
      </c>
      <c r="E92" s="88">
        <v>0.06</v>
      </c>
      <c r="F92" s="88">
        <v>0.08</v>
      </c>
      <c r="G92" s="87">
        <v>271.85</v>
      </c>
      <c r="H92" s="87">
        <v>1365.04</v>
      </c>
      <c r="I92" s="88">
        <v>0.3</v>
      </c>
      <c r="J92" s="88">
        <v>0.35</v>
      </c>
      <c r="K92" s="62"/>
      <c r="L92" s="66"/>
    </row>
    <row r="93" spans="8:8">
      <c r="A93" s="92" t="s">
        <v>51</v>
      </c>
      <c r="B93" s="86" t="s">
        <v>52</v>
      </c>
      <c r="C93" s="87">
        <v>543.59</v>
      </c>
      <c r="D93" s="87">
        <v>2922.64</v>
      </c>
      <c r="E93" s="88">
        <v>0.1</v>
      </c>
      <c r="F93" s="88">
        <v>0.12</v>
      </c>
      <c r="G93" s="87">
        <v>-49.3</v>
      </c>
      <c r="H93" s="87">
        <v>-70.0</v>
      </c>
      <c r="I93" s="88">
        <v>0.6</v>
      </c>
      <c r="J93" s="88">
        <v>0.8</v>
      </c>
      <c r="K93" s="62"/>
      <c r="L93" s="66"/>
    </row>
    <row r="94" spans="8:8">
      <c r="A94" s="91"/>
      <c r="B94" s="86" t="s">
        <v>53</v>
      </c>
      <c r="C94" s="87">
        <v>309.23</v>
      </c>
      <c r="D94" s="87">
        <v>1472.9</v>
      </c>
      <c r="E94" s="88">
        <v>0.08</v>
      </c>
      <c r="F94" s="88">
        <v>0.1</v>
      </c>
      <c r="G94" s="87">
        <v>-25.96</v>
      </c>
      <c r="H94" s="87">
        <v>-105.0</v>
      </c>
      <c r="I94" s="88">
        <v>0.6</v>
      </c>
      <c r="J94" s="88">
        <v>0.7</v>
      </c>
      <c r="K94" s="62"/>
      <c r="L94" s="66"/>
    </row>
    <row r="95" spans="8:8">
      <c r="A95" s="91"/>
      <c r="B95" s="93" t="s">
        <v>54</v>
      </c>
      <c r="C95" s="87">
        <v>1953.33</v>
      </c>
      <c r="D95" s="87">
        <v>8357.14</v>
      </c>
      <c r="E95" s="88">
        <v>0.08</v>
      </c>
      <c r="F95" s="88">
        <v>0.1</v>
      </c>
      <c r="G95" s="87">
        <v>-23.13</v>
      </c>
      <c r="H95" s="87">
        <v>-182.0</v>
      </c>
      <c r="I95" s="88">
        <v>0.55</v>
      </c>
      <c r="J95" s="88">
        <v>0.65</v>
      </c>
      <c r="K95" s="62"/>
      <c r="L95" s="66"/>
    </row>
    <row r="96" spans="8:8">
      <c r="A96" s="94" t="s">
        <v>55</v>
      </c>
      <c r="B96" s="86" t="s">
        <v>56</v>
      </c>
      <c r="C96" s="87">
        <v>1626.78</v>
      </c>
      <c r="D96" s="87">
        <v>7410.93</v>
      </c>
      <c r="E96" s="88">
        <v>0.2</v>
      </c>
      <c r="F96" s="88">
        <v>0.25</v>
      </c>
      <c r="G96" s="87">
        <v>413.28</v>
      </c>
      <c r="H96" s="87">
        <v>2295.59</v>
      </c>
      <c r="I96" s="88">
        <v>0.2</v>
      </c>
      <c r="J96" s="88">
        <v>0.25</v>
      </c>
      <c r="K96" s="62"/>
      <c r="L96" s="66"/>
    </row>
    <row r="97" spans="8:8">
      <c r="A97" s="91"/>
      <c r="B97" s="86" t="s">
        <v>57</v>
      </c>
      <c r="C97" s="87">
        <v>1665.95</v>
      </c>
      <c r="D97" s="87">
        <v>6524.13</v>
      </c>
      <c r="E97" s="88">
        <v>0.06</v>
      </c>
      <c r="F97" s="88">
        <v>0.07</v>
      </c>
      <c r="G97" s="87">
        <v>290.29</v>
      </c>
      <c r="H97" s="87">
        <v>607.67</v>
      </c>
      <c r="I97" s="88">
        <v>0.4</v>
      </c>
      <c r="J97" s="88">
        <v>0.5</v>
      </c>
      <c r="K97" s="62"/>
      <c r="L97" s="66"/>
    </row>
    <row r="98" spans="8:8">
      <c r="A98" s="91"/>
      <c r="B98" s="86" t="s">
        <v>58</v>
      </c>
      <c r="C98" s="87">
        <v>2379.23</v>
      </c>
      <c r="D98" s="87">
        <v>10142.0</v>
      </c>
      <c r="E98" s="88">
        <v>0.08</v>
      </c>
      <c r="F98" s="88">
        <v>0.1</v>
      </c>
      <c r="G98" s="87">
        <v>-146.11</v>
      </c>
      <c r="H98" s="87">
        <v>-897.0</v>
      </c>
      <c r="I98" s="88">
        <v>0.3</v>
      </c>
      <c r="J98" s="88">
        <v>0.4</v>
      </c>
      <c r="K98" s="62"/>
      <c r="L98" s="66"/>
    </row>
    <row r="99" spans="8:8">
      <c r="A99" s="91"/>
      <c r="B99" s="86" t="s">
        <v>59</v>
      </c>
      <c r="C99" s="87">
        <v>821.76</v>
      </c>
      <c r="D99" s="87">
        <v>3626.65</v>
      </c>
      <c r="E99" s="88">
        <v>0.25</v>
      </c>
      <c r="F99" s="88">
        <v>0.3</v>
      </c>
      <c r="G99" s="87">
        <v>22.37</v>
      </c>
      <c r="H99" s="87">
        <v>33.22</v>
      </c>
      <c r="I99" s="88">
        <v>0.8</v>
      </c>
      <c r="J99" s="88">
        <v>1.2</v>
      </c>
      <c r="K99" s="62"/>
      <c r="L99" s="66"/>
    </row>
    <row r="100" spans="8:8">
      <c r="A100" s="91"/>
      <c r="B100" s="86" t="s">
        <v>60</v>
      </c>
      <c r="C100" s="87">
        <v>40000.87</v>
      </c>
      <c r="D100" s="87">
        <v>210538.21</v>
      </c>
      <c r="E100" s="88">
        <v>0.2</v>
      </c>
      <c r="F100" s="88">
        <v>0.35</v>
      </c>
      <c r="G100" s="87">
        <v>739.16</v>
      </c>
      <c r="H100" s="87">
        <v>3643.59</v>
      </c>
      <c r="I100" s="88">
        <v>1.2</v>
      </c>
      <c r="J100" s="88">
        <v>0.3</v>
      </c>
      <c r="K100" s="62"/>
      <c r="L100" s="66"/>
    </row>
    <row r="101" spans="8:8">
      <c r="A101" s="91"/>
      <c r="B101" s="86" t="s">
        <v>61</v>
      </c>
      <c r="C101" s="87">
        <v>437.49</v>
      </c>
      <c r="D101" s="87">
        <v>1893.53</v>
      </c>
      <c r="E101" s="88">
        <v>0.15</v>
      </c>
      <c r="F101" s="88">
        <v>0.16</v>
      </c>
      <c r="G101" s="87">
        <v>-4.0</v>
      </c>
      <c r="H101" s="87">
        <v>16.0</v>
      </c>
      <c r="I101" s="88">
        <v>0.8</v>
      </c>
      <c r="J101" s="88">
        <v>1.2</v>
      </c>
      <c r="K101" s="62"/>
      <c r="L101" s="66"/>
    </row>
    <row r="102" spans="8:8">
      <c r="A102" s="94" t="s">
        <v>84</v>
      </c>
      <c r="B102" s="95" t="s">
        <v>85</v>
      </c>
      <c r="C102" s="87">
        <v>4816.0</v>
      </c>
      <c r="D102" s="87">
        <v>20596.2</v>
      </c>
      <c r="E102" s="88">
        <v>0.68</v>
      </c>
      <c r="F102" s="88">
        <v>0.6833</v>
      </c>
      <c r="G102" s="87">
        <v>1000.0</v>
      </c>
      <c r="H102" s="87">
        <v>2422.0</v>
      </c>
      <c r="I102" s="88">
        <v>2.8</v>
      </c>
      <c r="J102" s="88">
        <v>1.0801</v>
      </c>
      <c r="K102" s="62"/>
      <c r="L102" s="66"/>
    </row>
    <row r="103" spans="8:8">
      <c r="A103" s="91"/>
      <c r="B103" s="96" t="s">
        <v>86</v>
      </c>
      <c r="C103" s="97"/>
      <c r="D103" s="97"/>
      <c r="E103" s="98"/>
      <c r="F103" s="98"/>
      <c r="G103" s="97">
        <v>330.0</v>
      </c>
      <c r="H103" s="99"/>
      <c r="I103" s="100">
        <v>14.26</v>
      </c>
      <c r="J103" s="101"/>
      <c r="K103" s="102"/>
      <c r="L103" s="103"/>
    </row>
    <row r="104" spans="8:8" s="22" ht="22.2" customFormat="1">
      <c r="A104" s="104"/>
      <c r="B104" s="104"/>
      <c r="C104" s="104"/>
      <c r="D104" s="104"/>
      <c r="E104" s="104"/>
      <c r="F104" s="104"/>
      <c r="G104" s="104"/>
      <c r="H104" s="104"/>
      <c r="I104" s="104"/>
      <c r="J104" s="104"/>
      <c r="K104" s="104"/>
      <c r="L104" s="104"/>
    </row>
    <row r="105" spans="8:8" s="105" ht="28.2" customFormat="1">
      <c r="A105" s="46" t="s">
        <v>710</v>
      </c>
      <c r="B105" s="47"/>
      <c r="C105" s="47"/>
      <c r="D105" s="47"/>
      <c r="E105" s="47"/>
      <c r="F105" s="47"/>
      <c r="G105" s="47"/>
      <c r="H105" s="47"/>
      <c r="I105" s="47"/>
      <c r="J105" s="47"/>
      <c r="K105" s="47"/>
      <c r="L105" s="48"/>
    </row>
    <row r="106" spans="8:8" s="105" ht="66.0" customFormat="1" customHeight="1">
      <c r="A106" s="106" t="s">
        <v>0</v>
      </c>
      <c r="B106" s="107" t="s">
        <v>1</v>
      </c>
      <c r="C106" s="108" t="s">
        <v>160</v>
      </c>
      <c r="D106" s="109"/>
      <c r="E106" s="110" t="s">
        <v>2</v>
      </c>
      <c r="F106" s="111"/>
      <c r="G106" s="110" t="s">
        <v>161</v>
      </c>
      <c r="H106" s="111"/>
      <c r="I106" s="110" t="s">
        <v>8</v>
      </c>
      <c r="J106" s="112"/>
      <c r="K106" s="113" t="s">
        <v>71</v>
      </c>
      <c r="L106" s="114" t="s">
        <v>5</v>
      </c>
    </row>
    <row r="107" spans="8:8" s="105" ht="23.4" customFormat="1">
      <c r="A107" s="58"/>
      <c r="B107" s="16"/>
      <c r="C107" s="17" t="s">
        <v>72</v>
      </c>
      <c r="D107" s="18">
        <v>2026.0</v>
      </c>
      <c r="E107" s="17" t="s">
        <v>72</v>
      </c>
      <c r="F107" s="18">
        <v>2026.0</v>
      </c>
      <c r="G107" s="17" t="s">
        <v>72</v>
      </c>
      <c r="H107" s="18">
        <v>2026.0</v>
      </c>
      <c r="I107" s="17" t="s">
        <v>72</v>
      </c>
      <c r="J107" s="18">
        <v>2026.0</v>
      </c>
      <c r="K107" s="20"/>
      <c r="L107" s="21"/>
    </row>
    <row r="108" spans="8:8" s="105" ht="44.4" customFormat="1">
      <c r="A108" s="22" t="s">
        <v>723</v>
      </c>
      <c r="B108" s="115" t="s">
        <v>711</v>
      </c>
      <c r="C108" s="116">
        <v>203856.0</v>
      </c>
      <c r="D108" s="117">
        <v>829091.0</v>
      </c>
      <c r="E108" s="118">
        <v>0.11</v>
      </c>
      <c r="F108" s="119">
        <v>0.1</v>
      </c>
      <c r="G108" s="116">
        <v>66835.0</v>
      </c>
      <c r="H108" s="117">
        <v>260145.252</v>
      </c>
      <c r="I108" s="118">
        <v>0.06</v>
      </c>
      <c r="J108" s="120">
        <v>0.002</v>
      </c>
      <c r="K108" s="118"/>
      <c r="L108" s="121" t="s">
        <v>712</v>
      </c>
    </row>
    <row r="109" spans="8:8" s="105" ht="66.6" customFormat="1">
      <c r="A109" s="22"/>
      <c r="B109" s="122" t="s">
        <v>713</v>
      </c>
      <c r="C109" s="123">
        <v>7922.0</v>
      </c>
      <c r="D109" s="124">
        <v>33054.0</v>
      </c>
      <c r="E109" s="125">
        <v>0.08</v>
      </c>
      <c r="F109" s="125">
        <v>0.09</v>
      </c>
      <c r="G109" s="123">
        <v>687.0</v>
      </c>
      <c r="H109" s="124">
        <v>3092.0</v>
      </c>
      <c r="I109" s="125">
        <v>0.22</v>
      </c>
      <c r="J109" s="125">
        <v>0.19</v>
      </c>
      <c r="K109" s="125" t="s">
        <v>3</v>
      </c>
      <c r="L109" s="126" t="s">
        <v>714</v>
      </c>
    </row>
    <row r="110" spans="8:8" s="105" ht="22.2" customFormat="1">
      <c r="A110" s="127" t="s">
        <v>724</v>
      </c>
      <c r="B110" s="122" t="s">
        <v>715</v>
      </c>
      <c r="C110" s="123">
        <v>269182.0</v>
      </c>
      <c r="D110" s="123">
        <v>1121775.0</v>
      </c>
      <c r="E110" s="125">
        <v>0.09</v>
      </c>
      <c r="F110" s="125">
        <v>0.1</v>
      </c>
      <c r="G110" s="123">
        <v>24923.0</v>
      </c>
      <c r="H110" s="124">
        <v>107037.0</v>
      </c>
      <c r="I110" s="125">
        <v>-0.17</v>
      </c>
      <c r="J110" s="125">
        <v>0.66</v>
      </c>
      <c r="K110" s="125"/>
      <c r="L110" s="126" t="s">
        <v>716</v>
      </c>
    </row>
    <row r="111" spans="8:8" s="105" ht="22.2" customFormat="1">
      <c r="A111" s="127" t="s">
        <v>725</v>
      </c>
      <c r="B111" s="122" t="s">
        <v>717</v>
      </c>
      <c r="C111" s="123">
        <v>15925.0</v>
      </c>
      <c r="D111" s="122">
        <v>69097.0</v>
      </c>
      <c r="E111" s="125">
        <v>0.07</v>
      </c>
      <c r="F111" s="125">
        <v>0.11</v>
      </c>
      <c r="G111" s="123">
        <v>4370.0</v>
      </c>
      <c r="H111" s="122">
        <v>17457.0</v>
      </c>
      <c r="I111" s="125">
        <v>-0.02</v>
      </c>
      <c r="J111" s="125">
        <v>-0.45</v>
      </c>
      <c r="K111" s="125"/>
      <c r="L111" s="126" t="s">
        <v>718</v>
      </c>
    </row>
    <row r="112" spans="8:8" s="105" ht="22.2" customFormat="1">
      <c r="A112" s="127" t="s">
        <v>726</v>
      </c>
      <c r="B112" s="122" t="s">
        <v>719</v>
      </c>
      <c r="C112" s="123">
        <v>3418.0</v>
      </c>
      <c r="D112" s="123">
        <v>13534.0</v>
      </c>
      <c r="E112" s="125">
        <v>0.05</v>
      </c>
      <c r="F112" s="125">
        <v>0.06</v>
      </c>
      <c r="G112" s="123">
        <v>1622.0</v>
      </c>
      <c r="H112" s="123">
        <v>6075.0</v>
      </c>
      <c r="I112" s="125">
        <v>0.06</v>
      </c>
      <c r="J112" s="125">
        <v>1.06</v>
      </c>
      <c r="K112" s="125"/>
      <c r="L112" s="126" t="s">
        <v>720</v>
      </c>
    </row>
    <row r="113" spans="8:8" s="105" ht="22.2" customFormat="1">
      <c r="A113" s="127" t="s">
        <v>727</v>
      </c>
      <c r="B113" s="122" t="s">
        <v>721</v>
      </c>
      <c r="C113" s="123">
        <v>867.0</v>
      </c>
      <c r="D113" s="122">
        <v>4363.0</v>
      </c>
      <c r="E113" s="125">
        <v>0.23</v>
      </c>
      <c r="F113" s="125">
        <v>0.44</v>
      </c>
      <c r="G113" s="123">
        <v>92.5</v>
      </c>
      <c r="H113" s="122">
        <v>591.0</v>
      </c>
      <c r="I113" s="125">
        <v>0.27</v>
      </c>
      <c r="J113" s="125">
        <v>0.07</v>
      </c>
      <c r="K113" s="125" t="s">
        <v>3</v>
      </c>
      <c r="L113" s="126" t="s">
        <v>722</v>
      </c>
    </row>
    <row r="114" spans="8:8" s="105" ht="22.2" customFormat="1">
      <c r="A114" s="104"/>
      <c r="B114" s="104"/>
      <c r="C114" s="104"/>
      <c r="D114" s="104"/>
      <c r="E114" s="104"/>
      <c r="F114" s="104"/>
      <c r="G114" s="104"/>
      <c r="H114" s="104"/>
      <c r="I114" s="104"/>
      <c r="J114" s="104"/>
      <c r="K114" s="104"/>
      <c r="L114" s="104"/>
    </row>
    <row r="115" spans="8:8" s="105" ht="28.2" customFormat="1">
      <c r="A115" s="46" t="s">
        <v>811</v>
      </c>
      <c r="B115" s="47"/>
      <c r="C115" s="47"/>
      <c r="D115" s="47"/>
      <c r="E115" s="47"/>
      <c r="F115" s="47"/>
      <c r="G115" s="47"/>
      <c r="H115" s="47"/>
      <c r="I115" s="47"/>
      <c r="J115" s="47"/>
      <c r="K115" s="47"/>
      <c r="L115" s="48"/>
    </row>
    <row r="116" spans="8:8" s="105" ht="61.8" customFormat="1" customHeight="1">
      <c r="A116" s="49" t="s">
        <v>0</v>
      </c>
      <c r="B116" s="50" t="s">
        <v>1</v>
      </c>
      <c r="C116" s="51" t="s">
        <v>204</v>
      </c>
      <c r="D116" s="52"/>
      <c r="E116" s="53" t="s">
        <v>2</v>
      </c>
      <c r="F116" s="54"/>
      <c r="G116" s="53" t="s">
        <v>19</v>
      </c>
      <c r="H116" s="54"/>
      <c r="I116" s="53" t="s">
        <v>7</v>
      </c>
      <c r="J116" s="55"/>
      <c r="K116" s="56" t="s">
        <v>90</v>
      </c>
      <c r="L116" s="57" t="s">
        <v>5</v>
      </c>
    </row>
    <row r="117" spans="8:8" s="105" ht="23.4" customFormat="1">
      <c r="A117" s="58"/>
      <c r="B117" s="16"/>
      <c r="C117" s="17" t="s">
        <v>91</v>
      </c>
      <c r="D117" s="18">
        <v>2026.0</v>
      </c>
      <c r="E117" s="17" t="s">
        <v>91</v>
      </c>
      <c r="F117" s="18">
        <v>2026.0</v>
      </c>
      <c r="G117" s="17" t="s">
        <v>91</v>
      </c>
      <c r="H117" s="128">
        <v>2026.0</v>
      </c>
      <c r="I117" s="17" t="s">
        <v>91</v>
      </c>
      <c r="J117" s="18">
        <v>2026.0</v>
      </c>
      <c r="K117" s="20"/>
      <c r="L117" s="21"/>
    </row>
    <row r="118" spans="8:8" s="105" ht="22.2" customFormat="1">
      <c r="A118" s="22" t="s">
        <v>757</v>
      </c>
      <c r="B118" s="65" t="s">
        <v>758</v>
      </c>
      <c r="C118" s="129" t="s">
        <v>6</v>
      </c>
      <c r="D118" s="129" t="s">
        <v>6</v>
      </c>
      <c r="E118" s="62" t="s">
        <v>6</v>
      </c>
      <c r="F118" s="62" t="s">
        <v>6</v>
      </c>
      <c r="G118" s="130" t="s">
        <v>6</v>
      </c>
      <c r="H118" s="131">
        <v>1465.7642212566923</v>
      </c>
      <c r="I118" s="62" t="s">
        <v>6</v>
      </c>
      <c r="J118" s="62">
        <v>0.3305715036303356</v>
      </c>
      <c r="K118" s="62"/>
      <c r="L118" s="132" t="s">
        <v>759</v>
      </c>
    </row>
    <row r="119" spans="8:8" s="105" ht="22.2" customFormat="1">
      <c r="A119" s="22"/>
      <c r="B119" s="67" t="s">
        <v>760</v>
      </c>
      <c r="C119" s="129" t="s">
        <v>6</v>
      </c>
      <c r="D119" s="129" t="s">
        <v>6</v>
      </c>
      <c r="E119" s="133" t="s">
        <v>6</v>
      </c>
      <c r="F119" s="133" t="s">
        <v>6</v>
      </c>
      <c r="G119" s="130" t="s">
        <v>6</v>
      </c>
      <c r="H119" s="131">
        <v>20277.2412468763</v>
      </c>
      <c r="I119" s="133" t="s">
        <v>6</v>
      </c>
      <c r="J119" s="62">
        <v>-0.250636306796042</v>
      </c>
      <c r="K119" s="62" t="s">
        <v>3</v>
      </c>
      <c r="L119" s="33" t="s">
        <v>761</v>
      </c>
    </row>
    <row r="120" spans="8:8" s="105" ht="22.2" customFormat="1">
      <c r="A120" s="22"/>
      <c r="B120" s="67" t="s">
        <v>762</v>
      </c>
      <c r="C120" s="129">
        <v>59429.10602657949</v>
      </c>
      <c r="D120" s="129">
        <v>154829.86828096307</v>
      </c>
      <c r="E120" s="62">
        <v>0.6220176867976606</v>
      </c>
      <c r="F120" s="62">
        <v>-0.018480026111996728</v>
      </c>
      <c r="G120" s="131">
        <v>16171.671794228132</v>
      </c>
      <c r="H120" s="131">
        <v>41460.055343705186</v>
      </c>
      <c r="I120" s="62">
        <v>0.813577637571844</v>
      </c>
      <c r="J120" s="62">
        <v>0.14265393406750038</v>
      </c>
      <c r="K120" s="62" t="s">
        <v>3</v>
      </c>
      <c r="L120" s="33" t="s">
        <v>763</v>
      </c>
    </row>
    <row r="121" spans="8:8" s="105" ht="22.2" customFormat="1">
      <c r="A121" s="22"/>
      <c r="B121" s="67" t="s">
        <v>764</v>
      </c>
      <c r="C121" s="129" t="s">
        <v>6</v>
      </c>
      <c r="D121" s="129" t="s">
        <v>6</v>
      </c>
      <c r="E121" s="62" t="s">
        <v>6</v>
      </c>
      <c r="F121" s="62" t="s">
        <v>6</v>
      </c>
      <c r="G121" s="130" t="s">
        <v>6</v>
      </c>
      <c r="H121" s="131">
        <v>7577.57138935771</v>
      </c>
      <c r="I121" s="133" t="s">
        <v>6</v>
      </c>
      <c r="J121" s="62">
        <v>0.21552316159090634</v>
      </c>
      <c r="K121" s="62"/>
      <c r="L121" s="33" t="s">
        <v>765</v>
      </c>
    </row>
    <row r="122" spans="8:8" s="105" ht="22.2" customFormat="1">
      <c r="A122" s="22"/>
      <c r="B122" s="67" t="s">
        <v>766</v>
      </c>
      <c r="C122" s="129">
        <v>126574.13395326378</v>
      </c>
      <c r="D122" s="129">
        <v>443989.9803653435</v>
      </c>
      <c r="E122" s="62">
        <v>0.18538414813084758</v>
      </c>
      <c r="F122" s="62">
        <v>0.020300720581454712</v>
      </c>
      <c r="G122" s="131">
        <v>26875.125843946</v>
      </c>
      <c r="H122" s="131">
        <v>66703.40813121415</v>
      </c>
      <c r="I122" s="62">
        <v>0.4719643906203308</v>
      </c>
      <c r="J122" s="62">
        <v>0.2466761635588104</v>
      </c>
      <c r="K122" s="62"/>
      <c r="L122" s="33" t="s">
        <v>767</v>
      </c>
    </row>
    <row r="123" spans="8:8" s="105" ht="44.4" customFormat="1">
      <c r="A123" s="22"/>
      <c r="B123" s="67" t="s">
        <v>768</v>
      </c>
      <c r="C123" s="129">
        <v>195968.97131836746</v>
      </c>
      <c r="D123" s="129">
        <v>691363.8171531348</v>
      </c>
      <c r="E123" s="62">
        <v>0.1704881070232489</v>
      </c>
      <c r="F123" s="62">
        <v>0.033360761255066596</v>
      </c>
      <c r="G123" s="131">
        <v>23061.800259197724</v>
      </c>
      <c r="H123" s="131">
        <v>50021.31442981362</v>
      </c>
      <c r="I123" s="62">
        <v>0.6856808902271563</v>
      </c>
      <c r="J123" s="62">
        <v>0.07236021158971018</v>
      </c>
      <c r="K123" s="62" t="s">
        <v>3</v>
      </c>
      <c r="L123" s="33" t="s">
        <v>769</v>
      </c>
    </row>
    <row r="124" spans="8:8" s="105" ht="22.2" customFormat="1">
      <c r="A124" s="22"/>
      <c r="B124" s="67" t="s">
        <v>770</v>
      </c>
      <c r="C124" s="129">
        <v>323928.1771936474</v>
      </c>
      <c r="D124" s="134">
        <v>1126891.921136183</v>
      </c>
      <c r="E124" s="62">
        <v>0.2119658673413054</v>
      </c>
      <c r="F124" s="62">
        <v>0.07271345535978191</v>
      </c>
      <c r="G124" s="131">
        <v>61675.17392629449</v>
      </c>
      <c r="H124" s="131">
        <v>159199.71604973733</v>
      </c>
      <c r="I124" s="62">
        <v>0.503136017311167</v>
      </c>
      <c r="J124" s="62">
        <v>0.18119957299957945</v>
      </c>
      <c r="K124" s="62" t="s">
        <v>3</v>
      </c>
      <c r="L124" s="33" t="s">
        <v>771</v>
      </c>
    </row>
    <row r="125" spans="8:8" s="105" ht="22.2" customFormat="1">
      <c r="A125" s="22" t="s">
        <v>772</v>
      </c>
      <c r="B125" s="135" t="s">
        <v>773</v>
      </c>
      <c r="C125" s="129">
        <v>13151.001223395502</v>
      </c>
      <c r="D125" s="131">
        <v>47593.214014395475</v>
      </c>
      <c r="E125" s="62">
        <v>0.6120574458767092</v>
      </c>
      <c r="F125" s="62">
        <v>0.34092651888654646</v>
      </c>
      <c r="G125" s="131">
        <v>5260.400489358201</v>
      </c>
      <c r="H125" s="131">
        <v>17983.240716013846</v>
      </c>
      <c r="I125" s="62">
        <v>0.41692523826869543</v>
      </c>
      <c r="J125" s="62">
        <v>0.31249697953834543</v>
      </c>
      <c r="K125" s="62" t="s">
        <v>3</v>
      </c>
      <c r="L125" s="63" t="s">
        <v>795</v>
      </c>
    </row>
    <row r="126" spans="8:8" s="105" ht="22.2" customFormat="1">
      <c r="A126" s="22"/>
      <c r="B126" s="67" t="s">
        <v>774</v>
      </c>
      <c r="C126" s="129">
        <v>23525.634088499995</v>
      </c>
      <c r="D126" s="131">
        <v>77825.99304829999</v>
      </c>
      <c r="E126" s="62">
        <v>0.9444011774520911</v>
      </c>
      <c r="F126" s="62">
        <v>0.2332300576888957</v>
      </c>
      <c r="G126" s="131">
        <v>9645.509976284997</v>
      </c>
      <c r="H126" s="131">
        <v>30394.499179542498</v>
      </c>
      <c r="I126" s="62">
        <v>1.759682090629839</v>
      </c>
      <c r="J126" s="62">
        <v>0.09296538453098657</v>
      </c>
      <c r="K126" s="62" t="s">
        <v>3</v>
      </c>
      <c r="L126" s="33" t="s">
        <v>797</v>
      </c>
    </row>
    <row r="127" spans="8:8" s="105" ht="22.2" customFormat="1">
      <c r="A127" s="22"/>
      <c r="B127" s="135" t="s">
        <v>775</v>
      </c>
      <c r="C127" s="129">
        <v>8853.403544908</v>
      </c>
      <c r="D127" s="131">
        <v>32620.0322958818</v>
      </c>
      <c r="E127" s="62">
        <v>0.43061065676500165</v>
      </c>
      <c r="F127" s="62">
        <v>0.1525596130458644</v>
      </c>
      <c r="G127" s="131">
        <v>4116.83264838222</v>
      </c>
      <c r="H127" s="131">
        <v>14826.048762005936</v>
      </c>
      <c r="I127" s="62">
        <v>0.1857338826629824</v>
      </c>
      <c r="J127" s="62">
        <v>0.1842157965586484</v>
      </c>
      <c r="K127" s="62"/>
      <c r="L127" s="63" t="s">
        <v>796</v>
      </c>
    </row>
    <row r="128" spans="8:8" s="105" ht="22.2" customFormat="1">
      <c r="A128" s="22"/>
      <c r="B128" s="135" t="s">
        <v>776</v>
      </c>
      <c r="C128" s="129">
        <v>4974.440928906501</v>
      </c>
      <c r="D128" s="131">
        <v>18651.163338233502</v>
      </c>
      <c r="E128" s="62">
        <v>0.8990434408002737</v>
      </c>
      <c r="F128" s="62">
        <v>0.21441152498745852</v>
      </c>
      <c r="G128" s="131">
        <v>2139.0095994297953</v>
      </c>
      <c r="H128" s="131">
        <v>7070.190836885358</v>
      </c>
      <c r="I128" s="62">
        <v>0.05504139444489553</v>
      </c>
      <c r="J128" s="62">
        <v>0.25501306676804725</v>
      </c>
      <c r="K128" s="62"/>
      <c r="L128" s="63" t="s">
        <v>798</v>
      </c>
    </row>
    <row r="129" spans="8:8" s="105" ht="22.2" customFormat="1">
      <c r="A129" s="22" t="s">
        <v>777</v>
      </c>
      <c r="B129" s="135" t="s">
        <v>778</v>
      </c>
      <c r="C129" s="129">
        <v>8288.14</v>
      </c>
      <c r="D129" s="131">
        <v>33183.01971874976</v>
      </c>
      <c r="E129" s="62">
        <v>0.16047885746289547</v>
      </c>
      <c r="F129" s="62">
        <v>0.1379246157110443</v>
      </c>
      <c r="G129" s="131">
        <v>5262.9689</v>
      </c>
      <c r="H129" s="131">
        <v>20525.592563749804</v>
      </c>
      <c r="I129" s="62">
        <v>0.18481965330932004</v>
      </c>
      <c r="J129" s="62">
        <v>0.15611088001294382</v>
      </c>
      <c r="K129" s="62"/>
      <c r="L129" s="63" t="s">
        <v>799</v>
      </c>
    </row>
    <row r="130" spans="8:8" s="105" ht="22.2" customFormat="1">
      <c r="A130" s="22"/>
      <c r="B130" s="67" t="s">
        <v>779</v>
      </c>
      <c r="C130" s="129">
        <v>12395.0</v>
      </c>
      <c r="D130" s="131">
        <v>46274.0</v>
      </c>
      <c r="E130" s="62">
        <v>0.0927444238737547</v>
      </c>
      <c r="F130" s="62">
        <v>-0.1256</v>
      </c>
      <c r="G130" s="131">
        <v>1137.0</v>
      </c>
      <c r="H130" s="131">
        <v>3529.0</v>
      </c>
      <c r="I130" s="62">
        <v>1.4229910714285714</v>
      </c>
      <c r="J130" s="62">
        <v>9.6937</v>
      </c>
      <c r="K130" s="62" t="s">
        <v>3</v>
      </c>
      <c r="L130" s="33" t="s">
        <v>800</v>
      </c>
    </row>
    <row r="131" spans="8:8" s="105" ht="22.2" customFormat="1">
      <c r="A131" s="22"/>
      <c r="B131" s="135" t="s">
        <v>780</v>
      </c>
      <c r="C131" s="136">
        <v>1613.92874637829</v>
      </c>
      <c r="D131" s="137">
        <v>6536.82072578442</v>
      </c>
      <c r="E131" s="62">
        <v>0.10391088048528396</v>
      </c>
      <c r="F131" s="62">
        <v>0.1042530594743496</v>
      </c>
      <c r="G131" s="137">
        <v>853.2639073859</v>
      </c>
      <c r="H131" s="137">
        <v>3591.37012386491</v>
      </c>
      <c r="I131" s="62">
        <v>0.07622555577601742</v>
      </c>
      <c r="J131" s="62">
        <v>0.10457473914451487</v>
      </c>
      <c r="K131" s="62"/>
      <c r="L131" s="63" t="s">
        <v>801</v>
      </c>
    </row>
    <row r="132" spans="8:8" s="105" ht="22.2" customFormat="1">
      <c r="A132" s="22"/>
      <c r="B132" s="59" t="s">
        <v>781</v>
      </c>
      <c r="C132" s="136">
        <v>682.277396</v>
      </c>
      <c r="D132" s="137">
        <v>1862.865600945912</v>
      </c>
      <c r="E132" s="62">
        <v>0.20343845204078015</v>
      </c>
      <c r="F132" s="62">
        <v>0.34259616215084</v>
      </c>
      <c r="G132" s="137">
        <v>245.8128902</v>
      </c>
      <c r="H132" s="137">
        <v>696.2125997536214</v>
      </c>
      <c r="I132" s="62">
        <v>0.5175508717125572</v>
      </c>
      <c r="J132" s="62">
        <v>0.43177024586357393</v>
      </c>
      <c r="K132" s="62"/>
      <c r="L132" s="63" t="s">
        <v>802</v>
      </c>
    </row>
    <row r="133" spans="8:8" s="105" ht="22.2" customFormat="1">
      <c r="A133" s="22"/>
      <c r="B133" s="59" t="s">
        <v>782</v>
      </c>
      <c r="C133" s="133" t="s">
        <v>783</v>
      </c>
      <c r="D133" s="137">
        <v>4133.7225918922295</v>
      </c>
      <c r="E133" s="133" t="s">
        <v>783</v>
      </c>
      <c r="F133" s="62">
        <v>0.022138319355398783</v>
      </c>
      <c r="G133" s="133" t="s">
        <v>783</v>
      </c>
      <c r="H133" s="137">
        <v>2051.257272287795</v>
      </c>
      <c r="I133" s="133" t="s">
        <v>783</v>
      </c>
      <c r="J133" s="62">
        <v>0.11165036466218647</v>
      </c>
      <c r="K133" s="62"/>
      <c r="L133" s="63" t="s">
        <v>803</v>
      </c>
    </row>
    <row r="134" spans="8:8" s="105" ht="22.2" customFormat="1">
      <c r="A134" s="22"/>
      <c r="B134" s="59" t="s">
        <v>784</v>
      </c>
      <c r="C134" s="136" t="s">
        <v>783</v>
      </c>
      <c r="D134" s="137">
        <v>2776.967255004731</v>
      </c>
      <c r="E134" s="62" t="s">
        <v>783</v>
      </c>
      <c r="F134" s="62">
        <v>0.06036728585339235</v>
      </c>
      <c r="G134" s="136" t="s">
        <v>783</v>
      </c>
      <c r="H134" s="137">
        <v>835.0255818067742</v>
      </c>
      <c r="I134" s="62" t="s">
        <v>783</v>
      </c>
      <c r="J134" s="62">
        <v>0.3006969492715</v>
      </c>
      <c r="K134" s="62"/>
      <c r="L134" s="63" t="s">
        <v>804</v>
      </c>
    </row>
    <row r="135" spans="8:8" s="105" ht="22.2" customFormat="1">
      <c r="A135" s="22"/>
      <c r="B135" s="59" t="s">
        <v>785</v>
      </c>
      <c r="C135" s="133" t="s">
        <v>783</v>
      </c>
      <c r="D135" s="137">
        <v>814200.5386208529</v>
      </c>
      <c r="E135" s="133" t="s">
        <v>783</v>
      </c>
      <c r="F135" s="62">
        <v>0.05841497668011608</v>
      </c>
      <c r="G135" s="133" t="s">
        <v>783</v>
      </c>
      <c r="H135" s="137">
        <v>61856.223524599794</v>
      </c>
      <c r="I135" s="133" t="s">
        <v>783</v>
      </c>
      <c r="J135" s="62">
        <v>0.05323043631193247</v>
      </c>
      <c r="K135" s="62"/>
      <c r="L135" s="63" t="s">
        <v>805</v>
      </c>
    </row>
    <row r="136" spans="8:8" s="105" ht="22.2" customFormat="1">
      <c r="A136" s="22"/>
      <c r="B136" s="59" t="s">
        <v>786</v>
      </c>
      <c r="C136" s="136" t="s">
        <v>783</v>
      </c>
      <c r="D136" s="137">
        <v>13006.234554183386</v>
      </c>
      <c r="E136" s="62" t="s">
        <v>783</v>
      </c>
      <c r="F136" s="62">
        <v>0.1251118564013769</v>
      </c>
      <c r="G136" s="136" t="s">
        <v>783</v>
      </c>
      <c r="H136" s="137">
        <v>1522.3236170612743</v>
      </c>
      <c r="I136" s="62" t="s">
        <v>783</v>
      </c>
      <c r="J136" s="62">
        <v>0.2701208085839857</v>
      </c>
      <c r="K136" s="62"/>
      <c r="L136" s="63" t="s">
        <v>806</v>
      </c>
    </row>
    <row r="137" spans="8:8" s="105" ht="22.2" customFormat="1">
      <c r="A137" s="22"/>
      <c r="B137" s="59" t="s">
        <v>787</v>
      </c>
      <c r="C137" s="133" t="s">
        <v>783</v>
      </c>
      <c r="D137" s="137">
        <v>36889.21132788352</v>
      </c>
      <c r="E137" s="133" t="s">
        <v>783</v>
      </c>
      <c r="F137" s="62">
        <v>0.030856388571683047</v>
      </c>
      <c r="G137" s="133" t="s">
        <v>783</v>
      </c>
      <c r="H137" s="137">
        <v>4041.2059359017876</v>
      </c>
      <c r="I137" s="133" t="s">
        <v>783</v>
      </c>
      <c r="J137" s="62">
        <v>0.039266089712247654</v>
      </c>
      <c r="K137" s="62"/>
      <c r="L137" s="63" t="s">
        <v>807</v>
      </c>
    </row>
    <row r="138" spans="8:8" s="105" ht="44.4" customFormat="1">
      <c r="A138" s="22"/>
      <c r="B138" s="59" t="s">
        <v>788</v>
      </c>
      <c r="C138" s="136">
        <v>592.27997159</v>
      </c>
      <c r="D138" s="137">
        <v>2890.73856893</v>
      </c>
      <c r="E138" s="62">
        <v>0.13263973760804704</v>
      </c>
      <c r="F138" s="62">
        <v>0.19475704641003166</v>
      </c>
      <c r="G138" s="137">
        <v>102.3746912001</v>
      </c>
      <c r="H138" s="137">
        <v>527.18374876592</v>
      </c>
      <c r="I138" s="62">
        <v>0.10867111977582855</v>
      </c>
      <c r="J138" s="62">
        <v>0.1422029005869785</v>
      </c>
      <c r="K138" s="62"/>
      <c r="L138" s="63" t="s">
        <v>808</v>
      </c>
    </row>
    <row r="139" spans="8:8" s="105" ht="22.2" customFormat="1">
      <c r="A139" s="22"/>
      <c r="B139" s="135" t="s">
        <v>789</v>
      </c>
      <c r="C139" s="136">
        <v>8301.381954608</v>
      </c>
      <c r="D139" s="137">
        <v>39607.348365668</v>
      </c>
      <c r="E139" s="62">
        <v>-0.05793613931508612</v>
      </c>
      <c r="F139" s="62">
        <v>0.008064544128500363</v>
      </c>
      <c r="G139" s="137">
        <v>2792.38576297</v>
      </c>
      <c r="H139" s="137">
        <v>4930.84316003308</v>
      </c>
      <c r="I139" s="62">
        <v>0.020217300732540577</v>
      </c>
      <c r="J139" s="62">
        <v>0.039743404810177775</v>
      </c>
      <c r="K139" s="62"/>
      <c r="L139" s="63" t="s">
        <v>809</v>
      </c>
    </row>
    <row r="140" spans="8:8" s="105" ht="44.4" customFormat="1">
      <c r="A140" s="22"/>
      <c r="B140" s="59" t="s">
        <v>790</v>
      </c>
      <c r="C140" s="136">
        <v>309.29178921</v>
      </c>
      <c r="D140" s="137">
        <v>1575.0</v>
      </c>
      <c r="E140" s="62">
        <v>0.0167048723250387</v>
      </c>
      <c r="F140" s="62">
        <v>0.47</v>
      </c>
      <c r="G140" s="137">
        <v>156.28472971356</v>
      </c>
      <c r="H140" s="137">
        <v>441.0</v>
      </c>
      <c r="I140" s="62">
        <v>11.248019570028214</v>
      </c>
      <c r="J140" s="62">
        <v>0.47847659916856666</v>
      </c>
      <c r="K140" s="62"/>
      <c r="L140" s="63" t="s">
        <v>810</v>
      </c>
    </row>
    <row r="141" spans="8:8" s="105" ht="22.2" customFormat="1">
      <c r="A141" s="22"/>
      <c r="B141" s="135" t="s">
        <v>791</v>
      </c>
      <c r="C141" s="133" t="s">
        <v>783</v>
      </c>
      <c r="D141" s="137">
        <v>1704.4509683377892</v>
      </c>
      <c r="E141" s="133" t="s">
        <v>783</v>
      </c>
      <c r="F141" s="62">
        <v>0.03717947727436921</v>
      </c>
      <c r="G141" s="133" t="s">
        <v>783</v>
      </c>
      <c r="H141" s="137">
        <v>-689.9446320575393</v>
      </c>
      <c r="I141" s="133" t="s">
        <v>783</v>
      </c>
      <c r="J141" s="62">
        <v>-0.6563546704114366</v>
      </c>
      <c r="K141" s="62"/>
      <c r="L141" s="63" t="s">
        <v>794</v>
      </c>
    </row>
    <row r="142" spans="8:8" s="105" ht="44.4" customFormat="1">
      <c r="A142" s="22"/>
      <c r="B142" s="135" t="s">
        <v>792</v>
      </c>
      <c r="C142" s="133" t="s">
        <v>783</v>
      </c>
      <c r="D142" s="137">
        <v>1494.0476783505997</v>
      </c>
      <c r="E142" s="133" t="s">
        <v>783</v>
      </c>
      <c r="F142" s="62">
        <v>0.2332946558529272</v>
      </c>
      <c r="G142" s="133" t="s">
        <v>783</v>
      </c>
      <c r="H142" s="137">
        <v>621.6990886013419</v>
      </c>
      <c r="I142" s="133" t="s">
        <v>783</v>
      </c>
      <c r="J142" s="62">
        <v>0.29815703735227794</v>
      </c>
      <c r="K142" s="62"/>
      <c r="L142" s="63" t="s">
        <v>793</v>
      </c>
    </row>
    <row r="143" spans="8:8" s="105" ht="22.2" customFormat="1">
      <c r="A143" s="104"/>
      <c r="B143" s="104"/>
      <c r="C143" s="104"/>
      <c r="D143" s="104"/>
      <c r="E143" s="104"/>
      <c r="F143" s="104"/>
      <c r="G143" s="104"/>
      <c r="H143" s="104"/>
      <c r="I143" s="104"/>
      <c r="J143" s="104"/>
      <c r="K143" s="104"/>
      <c r="L143" s="104"/>
    </row>
    <row r="144" spans="8:8" s="105" ht="28.2" customFormat="1">
      <c r="A144" s="3" t="s">
        <v>864</v>
      </c>
      <c r="B144" s="4"/>
      <c r="C144" s="4"/>
      <c r="D144" s="4"/>
      <c r="E144" s="4"/>
      <c r="F144" s="4"/>
      <c r="G144" s="4"/>
      <c r="H144" s="4"/>
      <c r="I144" s="4"/>
      <c r="J144" s="4"/>
      <c r="K144" s="4"/>
      <c r="L144" s="5"/>
    </row>
    <row r="145" spans="8:8" s="105" ht="63.0" customFormat="1" customHeight="1">
      <c r="A145" s="138" t="s">
        <v>0</v>
      </c>
      <c r="B145" s="7" t="s">
        <v>1</v>
      </c>
      <c r="C145" s="8" t="s">
        <v>862</v>
      </c>
      <c r="D145" s="9"/>
      <c r="E145" s="8" t="s">
        <v>34</v>
      </c>
      <c r="F145" s="9"/>
      <c r="G145" s="10" t="s">
        <v>863</v>
      </c>
      <c r="H145" s="11"/>
      <c r="I145" s="8" t="s">
        <v>8</v>
      </c>
      <c r="J145" s="9"/>
      <c r="K145" s="13" t="s">
        <v>71</v>
      </c>
      <c r="L145" s="13" t="s">
        <v>5</v>
      </c>
    </row>
    <row r="146" spans="8:8" s="105" ht="23.4" customFormat="1">
      <c r="A146" s="139"/>
      <c r="B146" s="140"/>
      <c r="C146" s="141" t="s">
        <v>72</v>
      </c>
      <c r="D146" s="142">
        <v>2026.0</v>
      </c>
      <c r="E146" s="141" t="s">
        <v>72</v>
      </c>
      <c r="F146" s="142">
        <v>2026.0</v>
      </c>
      <c r="G146" s="141" t="s">
        <v>72</v>
      </c>
      <c r="H146" s="142">
        <v>2026.0</v>
      </c>
      <c r="I146" s="141" t="s">
        <v>72</v>
      </c>
      <c r="J146" s="142">
        <v>2026.0</v>
      </c>
      <c r="K146" s="143"/>
      <c r="L146" s="144"/>
    </row>
    <row r="147" spans="8:8" s="105" ht="44.4" customFormat="1">
      <c r="A147" s="145" t="s">
        <v>812</v>
      </c>
      <c r="B147" s="146" t="s">
        <v>813</v>
      </c>
      <c r="C147" s="147">
        <v>11400.0</v>
      </c>
      <c r="D147" s="147">
        <v>49500.0</v>
      </c>
      <c r="E147" s="148">
        <v>0.19</v>
      </c>
      <c r="F147" s="148">
        <v>0.2</v>
      </c>
      <c r="G147" s="147">
        <v>1190.0</v>
      </c>
      <c r="H147" s="147">
        <v>5390.0</v>
      </c>
      <c r="I147" s="148">
        <v>2.0</v>
      </c>
      <c r="J147" s="148">
        <v>1.4</v>
      </c>
      <c r="K147" s="146"/>
      <c r="L147" s="149" t="s">
        <v>814</v>
      </c>
    </row>
    <row r="148" spans="8:8" s="105" ht="44.4" customFormat="1">
      <c r="A148" s="150"/>
      <c r="B148" s="146" t="s">
        <v>815</v>
      </c>
      <c r="C148" s="147">
        <v>420.0</v>
      </c>
      <c r="D148" s="147">
        <v>1800.0</v>
      </c>
      <c r="E148" s="148">
        <v>0.28</v>
      </c>
      <c r="F148" s="148">
        <v>-0.57</v>
      </c>
      <c r="G148" s="147">
        <v>160.0</v>
      </c>
      <c r="H148" s="147">
        <v>610.0</v>
      </c>
      <c r="I148" s="148">
        <v>0.84</v>
      </c>
      <c r="J148" s="148">
        <v>-0.79</v>
      </c>
      <c r="K148" s="146" t="s">
        <v>3</v>
      </c>
      <c r="L148" s="149" t="s">
        <v>816</v>
      </c>
    </row>
    <row r="149" spans="8:8" s="105" ht="22.2" customFormat="1">
      <c r="A149" s="150"/>
      <c r="B149" s="146" t="s">
        <v>817</v>
      </c>
      <c r="C149" s="147">
        <v>968.0</v>
      </c>
      <c r="D149" s="147">
        <v>3344.0</v>
      </c>
      <c r="E149" s="148">
        <v>0.45</v>
      </c>
      <c r="F149" s="148">
        <v>0.34</v>
      </c>
      <c r="G149" s="151" t="s">
        <v>635</v>
      </c>
      <c r="H149" s="147">
        <v>-495.0</v>
      </c>
      <c r="I149" s="148" t="s">
        <v>635</v>
      </c>
      <c r="J149" s="148" t="s">
        <v>635</v>
      </c>
      <c r="K149" s="146"/>
      <c r="L149" s="149" t="s">
        <v>818</v>
      </c>
    </row>
    <row r="150" spans="8:8" s="105" ht="44.4" customFormat="1">
      <c r="A150" s="152"/>
      <c r="B150" s="146" t="s">
        <v>819</v>
      </c>
      <c r="C150" s="151" t="s">
        <v>635</v>
      </c>
      <c r="D150" s="147">
        <v>2871.0</v>
      </c>
      <c r="E150" s="148" t="s">
        <v>635</v>
      </c>
      <c r="F150" s="148">
        <v>3.01</v>
      </c>
      <c r="G150" s="151" t="s">
        <v>635</v>
      </c>
      <c r="H150" s="147">
        <v>1098.0</v>
      </c>
      <c r="I150" s="148" t="s">
        <v>635</v>
      </c>
      <c r="J150" s="148" t="s">
        <v>635</v>
      </c>
      <c r="K150" s="146" t="s">
        <v>3</v>
      </c>
      <c r="L150" s="149" t="s">
        <v>820</v>
      </c>
    </row>
    <row r="151" spans="8:8" s="105" ht="22.2" customFormat="1">
      <c r="A151" s="145" t="s">
        <v>821</v>
      </c>
      <c r="B151" s="146" t="s">
        <v>822</v>
      </c>
      <c r="C151" s="153">
        <v>13931.0</v>
      </c>
      <c r="D151" s="153">
        <v>54330.0</v>
      </c>
      <c r="E151" s="148">
        <v>0.25</v>
      </c>
      <c r="F151" s="148">
        <v>0.2</v>
      </c>
      <c r="G151" s="154">
        <v>4623.0</v>
      </c>
      <c r="H151" s="154">
        <v>19530.0</v>
      </c>
      <c r="I151" s="148">
        <v>0.27</v>
      </c>
      <c r="J151" s="148">
        <v>0.31</v>
      </c>
      <c r="K151" s="146" t="s">
        <v>3</v>
      </c>
      <c r="L151" s="149" t="s">
        <v>823</v>
      </c>
    </row>
    <row r="152" spans="8:8" s="105" ht="44.4" customFormat="1">
      <c r="A152" s="150"/>
      <c r="B152" s="146" t="s">
        <v>824</v>
      </c>
      <c r="C152" s="155" t="s">
        <v>825</v>
      </c>
      <c r="D152" s="153">
        <v>8040.0</v>
      </c>
      <c r="E152" s="148" t="s">
        <v>635</v>
      </c>
      <c r="F152" s="148">
        <v>0.35</v>
      </c>
      <c r="G152" s="156" t="s">
        <v>826</v>
      </c>
      <c r="H152" s="154">
        <v>2090.0</v>
      </c>
      <c r="I152" s="148" t="s">
        <v>635</v>
      </c>
      <c r="J152" s="148">
        <v>0.34</v>
      </c>
      <c r="K152" s="146"/>
      <c r="L152" s="149" t="s">
        <v>827</v>
      </c>
    </row>
    <row r="153" spans="8:8" s="105" ht="22.2" customFormat="1">
      <c r="A153" s="152"/>
      <c r="B153" s="146" t="s">
        <v>828</v>
      </c>
      <c r="C153" s="153">
        <v>1950.0</v>
      </c>
      <c r="D153" s="153">
        <v>8070.0</v>
      </c>
      <c r="E153" s="148">
        <v>0.18</v>
      </c>
      <c r="F153" s="148">
        <v>0.21</v>
      </c>
      <c r="G153" s="154">
        <v>350.0</v>
      </c>
      <c r="H153" s="154">
        <v>1580.0</v>
      </c>
      <c r="I153" s="148">
        <v>0.25</v>
      </c>
      <c r="J153" s="148">
        <v>0.26</v>
      </c>
      <c r="K153" s="146"/>
      <c r="L153" s="149" t="s">
        <v>829</v>
      </c>
    </row>
    <row r="154" spans="8:8" s="105" ht="22.2" customFormat="1">
      <c r="A154" s="145" t="s">
        <v>830</v>
      </c>
      <c r="B154" s="146" t="s">
        <v>831</v>
      </c>
      <c r="C154" s="147">
        <v>9015.0</v>
      </c>
      <c r="D154" s="147">
        <v>35945.0</v>
      </c>
      <c r="E154" s="148">
        <v>0.06</v>
      </c>
      <c r="F154" s="148">
        <v>0.08</v>
      </c>
      <c r="G154" s="147">
        <v>2614.0</v>
      </c>
      <c r="H154" s="147">
        <v>8200.0</v>
      </c>
      <c r="I154" s="148">
        <v>0.07</v>
      </c>
      <c r="J154" s="148">
        <v>0.01</v>
      </c>
      <c r="K154" s="146"/>
      <c r="L154" s="149" t="s">
        <v>832</v>
      </c>
    </row>
    <row r="155" spans="8:8" s="105" ht="22.2" customFormat="1">
      <c r="A155" s="150"/>
      <c r="B155" s="146" t="s">
        <v>833</v>
      </c>
      <c r="C155" s="147">
        <v>812.0</v>
      </c>
      <c r="D155" s="147">
        <v>3230.0</v>
      </c>
      <c r="E155" s="148">
        <v>0.25</v>
      </c>
      <c r="F155" s="148">
        <v>0.25</v>
      </c>
      <c r="G155" s="147">
        <v>284.0</v>
      </c>
      <c r="H155" s="147">
        <v>1001.0</v>
      </c>
      <c r="I155" s="148">
        <v>0.23</v>
      </c>
      <c r="J155" s="148">
        <v>0.22</v>
      </c>
      <c r="K155" s="146"/>
      <c r="L155" s="149" t="s">
        <v>834</v>
      </c>
    </row>
    <row r="156" spans="8:8" s="105" ht="22.2" customFormat="1">
      <c r="A156" s="150"/>
      <c r="B156" s="146" t="s">
        <v>835</v>
      </c>
      <c r="C156" s="147">
        <v>2334.0</v>
      </c>
      <c r="D156" s="147">
        <v>8432.0</v>
      </c>
      <c r="E156" s="148">
        <v>0.05</v>
      </c>
      <c r="F156" s="148">
        <v>0.06</v>
      </c>
      <c r="G156" s="147">
        <v>490.0</v>
      </c>
      <c r="H156" s="147">
        <v>1602.0</v>
      </c>
      <c r="I156" s="148">
        <v>-0.15</v>
      </c>
      <c r="J156" s="148">
        <v>0.08</v>
      </c>
      <c r="K156" s="146"/>
      <c r="L156" s="149" t="s">
        <v>836</v>
      </c>
    </row>
    <row r="157" spans="8:8" s="105" ht="22.2" customFormat="1">
      <c r="A157" s="150"/>
      <c r="B157" s="146" t="s">
        <v>837</v>
      </c>
      <c r="C157" s="147">
        <v>1192.0</v>
      </c>
      <c r="D157" s="147">
        <v>4563.0</v>
      </c>
      <c r="E157" s="148">
        <v>0.12</v>
      </c>
      <c r="F157" s="148">
        <v>0.08</v>
      </c>
      <c r="G157" s="147">
        <v>334.0</v>
      </c>
      <c r="H157" s="147">
        <v>1086.0</v>
      </c>
      <c r="I157" s="148">
        <v>0.11</v>
      </c>
      <c r="J157" s="148">
        <v>0.02</v>
      </c>
      <c r="K157" s="146"/>
      <c r="L157" s="149" t="s">
        <v>838</v>
      </c>
    </row>
    <row r="158" spans="8:8" s="105" ht="22.2" customFormat="1">
      <c r="A158" s="152"/>
      <c r="B158" s="146" t="s">
        <v>839</v>
      </c>
      <c r="C158" s="147">
        <v>432.0</v>
      </c>
      <c r="D158" s="147">
        <v>1594.0</v>
      </c>
      <c r="E158" s="148">
        <v>0.13</v>
      </c>
      <c r="F158" s="148">
        <v>0.18</v>
      </c>
      <c r="G158" s="147">
        <v>190.0</v>
      </c>
      <c r="H158" s="147">
        <v>638.0</v>
      </c>
      <c r="I158" s="148">
        <v>0.03</v>
      </c>
      <c r="J158" s="148">
        <v>0.13</v>
      </c>
      <c r="K158" s="146"/>
      <c r="L158" s="149" t="s">
        <v>840</v>
      </c>
    </row>
    <row r="159" spans="8:8" s="105" ht="22.2" customFormat="1">
      <c r="A159" s="157" t="s">
        <v>841</v>
      </c>
      <c r="B159" s="146" t="s">
        <v>842</v>
      </c>
      <c r="C159" s="153">
        <v>1200.0</v>
      </c>
      <c r="D159" s="153">
        <v>4500.0</v>
      </c>
      <c r="E159" s="148">
        <v>0.11</v>
      </c>
      <c r="F159" s="148">
        <v>0.11</v>
      </c>
      <c r="G159" s="153">
        <v>400.0</v>
      </c>
      <c r="H159" s="153">
        <v>1430.0</v>
      </c>
      <c r="I159" s="148">
        <v>0.37</v>
      </c>
      <c r="J159" s="148">
        <v>0.3</v>
      </c>
      <c r="K159" s="153"/>
      <c r="L159" s="158" t="s">
        <v>843</v>
      </c>
    </row>
    <row r="160" spans="8:8" s="105" ht="22.2" customFormat="1">
      <c r="A160" s="159"/>
      <c r="B160" s="146" t="s">
        <v>844</v>
      </c>
      <c r="C160" s="153">
        <v>1046.0</v>
      </c>
      <c r="D160" s="153">
        <v>4435.0</v>
      </c>
      <c r="E160" s="148">
        <v>0.25</v>
      </c>
      <c r="F160" s="148">
        <v>0.2</v>
      </c>
      <c r="G160" s="153">
        <v>308.0</v>
      </c>
      <c r="H160" s="153">
        <v>1250.0</v>
      </c>
      <c r="I160" s="148">
        <v>0.25</v>
      </c>
      <c r="J160" s="148">
        <v>0.21</v>
      </c>
      <c r="K160" s="153"/>
      <c r="L160" s="158" t="s">
        <v>845</v>
      </c>
    </row>
    <row r="161" spans="8:8" s="105" ht="22.2" customFormat="1">
      <c r="A161" s="145" t="s">
        <v>846</v>
      </c>
      <c r="B161" s="146" t="s">
        <v>847</v>
      </c>
      <c r="C161" s="160">
        <v>5810.0</v>
      </c>
      <c r="D161" s="160">
        <v>24141.0</v>
      </c>
      <c r="E161" s="148">
        <v>0.06</v>
      </c>
      <c r="F161" s="148">
        <v>0.08</v>
      </c>
      <c r="G161" s="160">
        <v>1061.0</v>
      </c>
      <c r="H161" s="160">
        <v>2975.0</v>
      </c>
      <c r="I161" s="148">
        <v>0.06</v>
      </c>
      <c r="J161" s="148">
        <v>-0.08</v>
      </c>
      <c r="K161" s="146"/>
      <c r="L161" s="161" t="s">
        <v>848</v>
      </c>
    </row>
    <row r="162" spans="8:8" s="105" ht="22.2" customFormat="1">
      <c r="A162" s="150"/>
      <c r="B162" s="146" t="s">
        <v>849</v>
      </c>
      <c r="C162" s="160">
        <v>809.0</v>
      </c>
      <c r="D162" s="160">
        <v>3263.0</v>
      </c>
      <c r="E162" s="148">
        <v>0.15</v>
      </c>
      <c r="F162" s="148">
        <v>0.12</v>
      </c>
      <c r="G162" s="160">
        <v>158.0</v>
      </c>
      <c r="H162" s="160">
        <v>562.0</v>
      </c>
      <c r="I162" s="148">
        <v>0.15</v>
      </c>
      <c r="J162" s="148">
        <v>0.12</v>
      </c>
      <c r="K162" s="146" t="s">
        <v>3</v>
      </c>
      <c r="L162" s="161" t="s">
        <v>850</v>
      </c>
    </row>
    <row r="163" spans="8:8" s="105" ht="22.2" customFormat="1">
      <c r="A163" s="152"/>
      <c r="B163" s="146" t="s">
        <v>851</v>
      </c>
      <c r="C163" s="160">
        <v>1119.0</v>
      </c>
      <c r="D163" s="160">
        <v>4470.0</v>
      </c>
      <c r="E163" s="148">
        <v>0.07</v>
      </c>
      <c r="F163" s="148">
        <v>0.08</v>
      </c>
      <c r="G163" s="160">
        <v>142.0</v>
      </c>
      <c r="H163" s="160">
        <v>476.0</v>
      </c>
      <c r="I163" s="148">
        <v>0.07</v>
      </c>
      <c r="J163" s="148">
        <v>0.08</v>
      </c>
      <c r="K163" s="146"/>
      <c r="L163" s="161" t="s">
        <v>848</v>
      </c>
    </row>
    <row r="164" spans="8:8" s="105" ht="44.4" customFormat="1">
      <c r="A164" s="145" t="s">
        <v>852</v>
      </c>
      <c r="B164" s="146" t="s">
        <v>853</v>
      </c>
      <c r="C164" s="147">
        <v>6055.0</v>
      </c>
      <c r="D164" s="147">
        <v>26472.0</v>
      </c>
      <c r="E164" s="148">
        <v>0.06</v>
      </c>
      <c r="F164" s="148">
        <v>0.08</v>
      </c>
      <c r="G164" s="147">
        <v>484.0</v>
      </c>
      <c r="H164" s="147">
        <v>1886.0</v>
      </c>
      <c r="I164" s="148">
        <v>0.13</v>
      </c>
      <c r="J164" s="148">
        <v>0.12</v>
      </c>
      <c r="K164" s="146"/>
      <c r="L164" s="149" t="s">
        <v>854</v>
      </c>
    </row>
    <row r="165" spans="8:8" s="105" ht="22.2" customFormat="1">
      <c r="A165" s="152"/>
      <c r="B165" s="146" t="s">
        <v>855</v>
      </c>
      <c r="C165" s="147">
        <v>6796.0</v>
      </c>
      <c r="D165" s="147">
        <v>28958.0</v>
      </c>
      <c r="E165" s="148">
        <v>0.04</v>
      </c>
      <c r="F165" s="148">
        <v>0.05</v>
      </c>
      <c r="G165" s="147">
        <v>423.0</v>
      </c>
      <c r="H165" s="147">
        <v>1471.0</v>
      </c>
      <c r="I165" s="148">
        <v>0.25</v>
      </c>
      <c r="J165" s="148">
        <v>0.19</v>
      </c>
      <c r="K165" s="146"/>
      <c r="L165" s="149" t="s">
        <v>856</v>
      </c>
    </row>
    <row r="166" spans="8:8" s="105" ht="22.2" customFormat="1">
      <c r="A166" s="162" t="s">
        <v>857</v>
      </c>
      <c r="B166" s="163" t="s">
        <v>858</v>
      </c>
      <c r="C166" s="164">
        <v>1399.0</v>
      </c>
      <c r="D166" s="164">
        <v>7513.0</v>
      </c>
      <c r="E166" s="165">
        <v>0.05</v>
      </c>
      <c r="F166" s="165">
        <v>0.12</v>
      </c>
      <c r="G166" s="164">
        <v>420.0</v>
      </c>
      <c r="H166" s="164">
        <v>1994.0</v>
      </c>
      <c r="I166" s="165">
        <v>0.07</v>
      </c>
      <c r="J166" s="165">
        <v>0.15</v>
      </c>
      <c r="K166" s="163"/>
      <c r="L166" s="166" t="s">
        <v>859</v>
      </c>
    </row>
    <row r="167" spans="8:8" s="105" ht="22.2" customFormat="1">
      <c r="A167" s="162"/>
      <c r="B167" s="163" t="s">
        <v>860</v>
      </c>
      <c r="C167" s="164">
        <v>1223.0</v>
      </c>
      <c r="D167" s="164">
        <v>6224.0</v>
      </c>
      <c r="E167" s="165">
        <v>0.0</v>
      </c>
      <c r="F167" s="165">
        <v>0.0</v>
      </c>
      <c r="G167" s="164">
        <v>298.0</v>
      </c>
      <c r="H167" s="164">
        <v>1783.0</v>
      </c>
      <c r="I167" s="165">
        <v>0.05</v>
      </c>
      <c r="J167" s="165">
        <v>0.0</v>
      </c>
      <c r="K167" s="163"/>
      <c r="L167" s="166" t="s">
        <v>861</v>
      </c>
    </row>
    <row r="168" spans="8:8" s="105" ht="22.2" customFormat="1">
      <c r="A168" s="167"/>
      <c r="B168" s="168"/>
      <c r="C168" s="168"/>
      <c r="D168" s="168"/>
      <c r="E168" s="168"/>
      <c r="F168" s="168"/>
      <c r="G168" s="168"/>
      <c r="H168" s="168"/>
      <c r="I168" s="168"/>
      <c r="J168" s="168"/>
      <c r="K168" s="168"/>
      <c r="L168" s="168"/>
    </row>
    <row r="169" spans="8:8" s="105" ht="28.2" customFormat="1">
      <c r="A169" s="3" t="s">
        <v>267</v>
      </c>
      <c r="B169" s="4"/>
      <c r="C169" s="4"/>
      <c r="D169" s="4"/>
      <c r="E169" s="4"/>
      <c r="F169" s="4"/>
      <c r="G169" s="4"/>
      <c r="H169" s="4"/>
      <c r="I169" s="4"/>
      <c r="J169" s="4"/>
      <c r="K169" s="4"/>
      <c r="L169" s="5"/>
    </row>
    <row r="170" spans="8:8" s="105" ht="64.8" customFormat="1" customHeight="1">
      <c r="A170" s="49" t="s">
        <v>0</v>
      </c>
      <c r="B170" s="50" t="s">
        <v>1</v>
      </c>
      <c r="C170" s="51" t="s">
        <v>160</v>
      </c>
      <c r="D170" s="52"/>
      <c r="E170" s="53" t="s">
        <v>2</v>
      </c>
      <c r="F170" s="54"/>
      <c r="G170" s="53" t="s">
        <v>161</v>
      </c>
      <c r="H170" s="54"/>
      <c r="I170" s="53" t="s">
        <v>8</v>
      </c>
      <c r="J170" s="54"/>
      <c r="K170" s="56" t="s">
        <v>71</v>
      </c>
      <c r="L170" s="57" t="s">
        <v>5</v>
      </c>
    </row>
    <row r="171" spans="8:8" s="105" ht="23.4" customFormat="1">
      <c r="A171" s="58"/>
      <c r="B171" s="16"/>
      <c r="C171" s="17" t="s">
        <v>72</v>
      </c>
      <c r="D171" s="18">
        <v>2026.0</v>
      </c>
      <c r="E171" s="17" t="s">
        <v>72</v>
      </c>
      <c r="F171" s="18">
        <v>2026.0</v>
      </c>
      <c r="G171" s="17" t="s">
        <v>72</v>
      </c>
      <c r="H171" s="18">
        <v>2026.0</v>
      </c>
      <c r="I171" s="17" t="s">
        <v>72</v>
      </c>
      <c r="J171" s="18">
        <v>2026.0</v>
      </c>
      <c r="K171" s="20"/>
      <c r="L171" s="21"/>
    </row>
    <row r="172" spans="8:8" s="105" ht="44.4" customFormat="1">
      <c r="A172" s="22" t="s">
        <v>268</v>
      </c>
      <c r="B172" s="65" t="s">
        <v>269</v>
      </c>
      <c r="C172" s="169" t="s">
        <v>270</v>
      </c>
      <c r="D172" s="170" t="s">
        <v>271</v>
      </c>
      <c r="E172" s="171">
        <v>0.4114</v>
      </c>
      <c r="F172" s="171">
        <v>0.3144</v>
      </c>
      <c r="G172" s="172" t="s">
        <v>272</v>
      </c>
      <c r="H172" s="172" t="s">
        <v>273</v>
      </c>
      <c r="I172" s="171" t="s">
        <v>274</v>
      </c>
      <c r="J172" s="171" t="s">
        <v>275</v>
      </c>
      <c r="K172" s="173"/>
      <c r="L172" s="33" t="s">
        <v>276</v>
      </c>
    </row>
    <row r="173" spans="8:8" s="105" ht="44.4" customFormat="1">
      <c r="A173" s="22"/>
      <c r="B173" s="67" t="s">
        <v>277</v>
      </c>
      <c r="C173" s="169" t="s">
        <v>278</v>
      </c>
      <c r="D173" s="170" t="s">
        <v>279</v>
      </c>
      <c r="E173" s="171">
        <v>0.1772</v>
      </c>
      <c r="F173" s="171">
        <v>0.3049</v>
      </c>
      <c r="G173" s="172" t="s">
        <v>280</v>
      </c>
      <c r="H173" s="172" t="s">
        <v>281</v>
      </c>
      <c r="I173" s="171" t="s">
        <v>282</v>
      </c>
      <c r="J173" s="171" t="s">
        <v>275</v>
      </c>
      <c r="K173" s="173"/>
      <c r="L173" s="33" t="s">
        <v>283</v>
      </c>
    </row>
    <row r="174" spans="8:8" s="105" ht="44.4" customFormat="1">
      <c r="A174" s="22"/>
      <c r="B174" s="65" t="s">
        <v>284</v>
      </c>
      <c r="C174" s="169" t="s">
        <v>285</v>
      </c>
      <c r="D174" s="170" t="s">
        <v>286</v>
      </c>
      <c r="E174" s="171">
        <v>-0.2566</v>
      </c>
      <c r="F174" s="171">
        <v>0.1071</v>
      </c>
      <c r="G174" s="172" t="s">
        <v>287</v>
      </c>
      <c r="H174" s="172" t="s">
        <v>288</v>
      </c>
      <c r="I174" s="171">
        <v>-0.5022</v>
      </c>
      <c r="J174" s="171">
        <v>0.004</v>
      </c>
      <c r="K174" s="173"/>
      <c r="L174" s="33" t="s">
        <v>289</v>
      </c>
    </row>
    <row r="175" spans="8:8" s="105" ht="22.2" customFormat="1">
      <c r="A175" s="22"/>
      <c r="B175" s="67" t="s">
        <v>290</v>
      </c>
      <c r="C175" s="169">
        <v>4000.0</v>
      </c>
      <c r="D175" s="170">
        <v>16000.0</v>
      </c>
      <c r="E175" s="171">
        <v>-0.07709321351271492</v>
      </c>
      <c r="F175" s="171">
        <v>0.03287091543449616</v>
      </c>
      <c r="G175" s="172" t="s">
        <v>291</v>
      </c>
      <c r="H175" s="172" t="s">
        <v>292</v>
      </c>
      <c r="I175" s="171">
        <v>2.170302115296966</v>
      </c>
      <c r="J175" s="171">
        <v>0.6890218052189249</v>
      </c>
      <c r="K175" s="173"/>
      <c r="L175" s="33" t="s">
        <v>293</v>
      </c>
    </row>
    <row r="176" spans="8:8" s="105" ht="44.4" customFormat="1">
      <c r="A176" s="22"/>
      <c r="B176" s="65" t="s">
        <v>294</v>
      </c>
      <c r="C176" s="169">
        <v>5600.0</v>
      </c>
      <c r="D176" s="170">
        <v>23000.0</v>
      </c>
      <c r="E176" s="171">
        <v>-0.1658442788718525</v>
      </c>
      <c r="F176" s="171">
        <v>0.01831339585805547</v>
      </c>
      <c r="G176" s="172" t="s">
        <v>295</v>
      </c>
      <c r="H176" s="172" t="s">
        <v>296</v>
      </c>
      <c r="I176" s="171">
        <v>-0.33272045174247755</v>
      </c>
      <c r="J176" s="171">
        <v>-6.371414460198805E-4</v>
      </c>
      <c r="K176" s="173"/>
      <c r="L176" s="33" t="s">
        <v>297</v>
      </c>
    </row>
    <row r="177" spans="8:8" s="105" ht="44.4" customFormat="1">
      <c r="A177" s="22"/>
      <c r="B177" s="67" t="s">
        <v>298</v>
      </c>
      <c r="C177" s="169">
        <v>15000.0</v>
      </c>
      <c r="D177" s="170">
        <v>60000.0</v>
      </c>
      <c r="E177" s="171">
        <v>-0.21714648710452344</v>
      </c>
      <c r="F177" s="171">
        <v>-0.14708576916462757</v>
      </c>
      <c r="G177" s="172" t="s">
        <v>299</v>
      </c>
      <c r="H177" s="172" t="s">
        <v>300</v>
      </c>
      <c r="I177" s="171">
        <v>-0.4560702951674171</v>
      </c>
      <c r="J177" s="171">
        <v>0.3769040297801802</v>
      </c>
      <c r="K177" s="173"/>
      <c r="L177" s="33" t="s">
        <v>301</v>
      </c>
    </row>
    <row r="178" spans="8:8" s="105" ht="22.2" customFormat="1">
      <c r="A178" s="22"/>
      <c r="B178" s="65" t="s">
        <v>302</v>
      </c>
      <c r="C178" s="169">
        <v>20000.0</v>
      </c>
      <c r="D178" s="170">
        <v>78000.0</v>
      </c>
      <c r="E178" s="171">
        <v>0.19609886071318106</v>
      </c>
      <c r="F178" s="171">
        <v>0.16462151242156575</v>
      </c>
      <c r="G178" s="172" t="s">
        <v>303</v>
      </c>
      <c r="H178" s="172" t="s">
        <v>304</v>
      </c>
      <c r="I178" s="171">
        <v>1.0938702454658467</v>
      </c>
      <c r="J178" s="171">
        <v>0.9644408777258852</v>
      </c>
      <c r="K178" s="173"/>
      <c r="L178" s="33" t="s">
        <v>305</v>
      </c>
    </row>
    <row r="179" spans="8:8" s="105" ht="44.4" customFormat="1">
      <c r="A179" s="22"/>
      <c r="B179" s="67" t="s">
        <v>306</v>
      </c>
      <c r="C179" s="169">
        <v>15000.0</v>
      </c>
      <c r="D179" s="170">
        <v>60000.0</v>
      </c>
      <c r="E179" s="171">
        <v>-0.1661303599248567</v>
      </c>
      <c r="F179" s="171">
        <v>-0.08385573872103125</v>
      </c>
      <c r="G179" s="172" t="s">
        <v>295</v>
      </c>
      <c r="H179" s="172" t="s">
        <v>307</v>
      </c>
      <c r="I179" s="171">
        <v>0.2429703195305256</v>
      </c>
      <c r="J179" s="171">
        <v>0.6367077626827591</v>
      </c>
      <c r="K179" s="173"/>
      <c r="L179" s="33" t="s">
        <v>308</v>
      </c>
    </row>
    <row r="180" spans="8:8" s="105" ht="44.4" customFormat="1">
      <c r="A180" s="22"/>
      <c r="B180" s="65" t="s">
        <v>309</v>
      </c>
      <c r="C180" s="169">
        <v>9000.0</v>
      </c>
      <c r="D180" s="170">
        <v>38000.0</v>
      </c>
      <c r="E180" s="171">
        <v>-0.2780657424127444</v>
      </c>
      <c r="F180" s="171">
        <v>-0.056035141603857475</v>
      </c>
      <c r="G180" s="172" t="s">
        <v>310</v>
      </c>
      <c r="H180" s="172" t="s">
        <v>311</v>
      </c>
      <c r="I180" s="171">
        <v>-0.5612378154929653</v>
      </c>
      <c r="J180" s="171">
        <v>0.7228285516821846</v>
      </c>
      <c r="K180" s="173"/>
      <c r="L180" s="33" t="s">
        <v>312</v>
      </c>
    </row>
    <row r="181" spans="8:8" s="105" ht="44.4" customFormat="1">
      <c r="A181" s="22"/>
      <c r="B181" s="67" t="s">
        <v>313</v>
      </c>
      <c r="C181" s="169">
        <v>9500.0</v>
      </c>
      <c r="D181" s="170">
        <v>43000.0</v>
      </c>
      <c r="E181" s="171">
        <v>-0.282057596394911</v>
      </c>
      <c r="F181" s="171">
        <v>-0.12474808686847028</v>
      </c>
      <c r="G181" s="172" t="s">
        <v>299</v>
      </c>
      <c r="H181" s="172" t="s">
        <v>300</v>
      </c>
      <c r="I181" s="171">
        <v>-0.22139336287574754</v>
      </c>
      <c r="J181" s="171">
        <v>0.4032454937279475</v>
      </c>
      <c r="K181" s="173"/>
      <c r="L181" s="33" t="s">
        <v>314</v>
      </c>
    </row>
    <row r="182" spans="8:8" s="105" ht="44.4" customFormat="1">
      <c r="A182" s="22"/>
      <c r="B182" s="65" t="s">
        <v>315</v>
      </c>
      <c r="C182" s="169">
        <v>11000.0</v>
      </c>
      <c r="D182" s="170">
        <v>60000.0</v>
      </c>
      <c r="E182" s="171">
        <v>-0.5523980652367277</v>
      </c>
      <c r="F182" s="171">
        <v>-0.28680345318688993</v>
      </c>
      <c r="G182" s="172" t="s">
        <v>316</v>
      </c>
      <c r="H182" s="172" t="s">
        <v>317</v>
      </c>
      <c r="I182" s="171">
        <v>-0.10047366541540867</v>
      </c>
      <c r="J182" s="171">
        <v>0.267278556933217</v>
      </c>
      <c r="K182" s="173"/>
      <c r="L182" s="33" t="s">
        <v>318</v>
      </c>
    </row>
    <row r="183" spans="8:8" s="105" ht="44.4" customFormat="1">
      <c r="A183" s="22"/>
      <c r="B183" s="67" t="s">
        <v>319</v>
      </c>
      <c r="C183" s="169">
        <v>6500.0</v>
      </c>
      <c r="D183" s="170">
        <v>28000.0</v>
      </c>
      <c r="E183" s="171">
        <v>-0.10922580690980954</v>
      </c>
      <c r="F183" s="171">
        <v>-0.03615279474902755</v>
      </c>
      <c r="G183" s="172" t="s">
        <v>320</v>
      </c>
      <c r="H183" s="172" t="s">
        <v>321</v>
      </c>
      <c r="I183" s="171">
        <v>0.2936672708841426</v>
      </c>
      <c r="J183" s="171">
        <v>0.4602640359051358</v>
      </c>
      <c r="K183" s="173"/>
      <c r="L183" s="33" t="s">
        <v>322</v>
      </c>
    </row>
    <row r="184" spans="8:8" s="105" ht="44.4" customFormat="1">
      <c r="A184" s="22"/>
      <c r="B184" s="65" t="s">
        <v>323</v>
      </c>
      <c r="C184" s="169">
        <v>2500.0</v>
      </c>
      <c r="D184" s="170">
        <v>12000.0</v>
      </c>
      <c r="E184" s="171">
        <v>-0.19664947889952256</v>
      </c>
      <c r="F184" s="171">
        <v>0.11949107882074972</v>
      </c>
      <c r="G184" s="172" t="s">
        <v>324</v>
      </c>
      <c r="H184" s="172" t="s">
        <v>325</v>
      </c>
      <c r="I184" s="171">
        <v>-0.4954775448665291</v>
      </c>
      <c r="J184" s="171">
        <v>1.6787998318435062</v>
      </c>
      <c r="K184" s="173"/>
      <c r="L184" s="33" t="s">
        <v>326</v>
      </c>
    </row>
    <row r="185" spans="8:8" s="105" ht="22.2" customFormat="1">
      <c r="A185" s="22"/>
      <c r="B185" s="67" t="s">
        <v>327</v>
      </c>
      <c r="C185" s="169">
        <v>2300.0</v>
      </c>
      <c r="D185" s="170">
        <v>9000.0</v>
      </c>
      <c r="E185" s="171">
        <v>0.6759123614168072</v>
      </c>
      <c r="F185" s="171">
        <v>0.42011127798088044</v>
      </c>
      <c r="G185" s="172" t="s">
        <v>328</v>
      </c>
      <c r="H185" s="172" t="s">
        <v>329</v>
      </c>
      <c r="I185" s="171">
        <v>0.6804740840558081</v>
      </c>
      <c r="J185" s="171">
        <v>0.9626390170249429</v>
      </c>
      <c r="K185" s="173"/>
      <c r="L185" s="33" t="s">
        <v>330</v>
      </c>
    </row>
    <row r="186" spans="8:8" s="105" ht="44.4" customFormat="1">
      <c r="A186" s="22"/>
      <c r="B186" s="65" t="s">
        <v>331</v>
      </c>
      <c r="C186" s="169">
        <v>3300.0</v>
      </c>
      <c r="D186" s="170">
        <v>14000.0</v>
      </c>
      <c r="E186" s="171">
        <v>-0.09780337642627879</v>
      </c>
      <c r="F186" s="171">
        <v>-0.10064944133957743</v>
      </c>
      <c r="G186" s="172" t="s">
        <v>332</v>
      </c>
      <c r="H186" s="172" t="s">
        <v>333</v>
      </c>
      <c r="I186" s="171">
        <v>-1.6453009720460927</v>
      </c>
      <c r="J186" s="171">
        <v>-1.0</v>
      </c>
      <c r="K186" s="173"/>
      <c r="L186" s="33" t="s">
        <v>334</v>
      </c>
    </row>
    <row r="187" spans="8:8" s="105" ht="22.2" customFormat="1">
      <c r="A187" s="22"/>
      <c r="B187" s="67" t="s">
        <v>335</v>
      </c>
      <c r="C187" s="169">
        <v>550.0</v>
      </c>
      <c r="D187" s="170">
        <v>2400.0</v>
      </c>
      <c r="E187" s="171">
        <v>-0.05905678869846487</v>
      </c>
      <c r="F187" s="171">
        <v>0.11094410877741434</v>
      </c>
      <c r="G187" s="172" t="s">
        <v>336</v>
      </c>
      <c r="H187" s="172" t="s">
        <v>337</v>
      </c>
      <c r="I187" s="171">
        <v>0.5466183265815823</v>
      </c>
      <c r="J187" s="171">
        <v>1.0500830078158847</v>
      </c>
      <c r="K187" s="173"/>
      <c r="L187" s="33" t="s">
        <v>338</v>
      </c>
    </row>
    <row r="188" spans="8:8" s="105" ht="38.4" customFormat="1" customHeight="1">
      <c r="A188" s="22"/>
      <c r="B188" s="65" t="s">
        <v>339</v>
      </c>
      <c r="C188" s="169" t="s">
        <v>285</v>
      </c>
      <c r="D188" s="170" t="s">
        <v>340</v>
      </c>
      <c r="E188" s="171">
        <v>-0.6548</v>
      </c>
      <c r="F188" s="171">
        <v>-0.5783</v>
      </c>
      <c r="G188" s="172" t="s">
        <v>341</v>
      </c>
      <c r="H188" s="172" t="s">
        <v>342</v>
      </c>
      <c r="I188" s="171">
        <v>-0.7816</v>
      </c>
      <c r="J188" s="171">
        <v>-0.5892</v>
      </c>
      <c r="K188" s="173"/>
      <c r="L188" s="33" t="s">
        <v>343</v>
      </c>
    </row>
    <row r="189" spans="8:8" s="105" ht="40.8" customFormat="1" customHeight="1">
      <c r="A189" s="22"/>
      <c r="B189" s="67" t="s">
        <v>344</v>
      </c>
      <c r="C189" s="169" t="s">
        <v>345</v>
      </c>
      <c r="D189" s="170" t="s">
        <v>346</v>
      </c>
      <c r="E189" s="171">
        <v>0.1247</v>
      </c>
      <c r="F189" s="171">
        <v>0.1685</v>
      </c>
      <c r="G189" s="172" t="s">
        <v>347</v>
      </c>
      <c r="H189" s="172" t="s">
        <v>348</v>
      </c>
      <c r="I189" s="171">
        <v>-0.247</v>
      </c>
      <c r="J189" s="171">
        <v>0.4045</v>
      </c>
      <c r="K189" s="173"/>
      <c r="L189" s="33" t="s">
        <v>349</v>
      </c>
    </row>
    <row r="190" spans="8:8" s="105" ht="44.4" customFormat="1">
      <c r="A190" s="22"/>
      <c r="B190" s="65" t="s">
        <v>350</v>
      </c>
      <c r="C190" s="169" t="s">
        <v>351</v>
      </c>
      <c r="D190" s="170" t="s">
        <v>352</v>
      </c>
      <c r="E190" s="171">
        <v>0.2728</v>
      </c>
      <c r="F190" s="171">
        <v>0.1438</v>
      </c>
      <c r="G190" s="172" t="s">
        <v>353</v>
      </c>
      <c r="H190" s="172" t="s">
        <v>354</v>
      </c>
      <c r="I190" s="171" t="s">
        <v>275</v>
      </c>
      <c r="J190" s="171" t="s">
        <v>275</v>
      </c>
      <c r="K190" s="173"/>
      <c r="L190" s="33" t="s">
        <v>355</v>
      </c>
    </row>
    <row r="191" spans="8:8" s="105" ht="42.0" customFormat="1" customHeight="1">
      <c r="A191" s="22"/>
      <c r="B191" s="67" t="s">
        <v>356</v>
      </c>
      <c r="C191" s="169" t="s">
        <v>357</v>
      </c>
      <c r="D191" s="170" t="s">
        <v>358</v>
      </c>
      <c r="E191" s="171">
        <v>-0.1465</v>
      </c>
      <c r="F191" s="171">
        <v>0.0024</v>
      </c>
      <c r="G191" s="172" t="s">
        <v>354</v>
      </c>
      <c r="H191" s="172" t="s">
        <v>359</v>
      </c>
      <c r="I191" s="171">
        <v>0.2069</v>
      </c>
      <c r="J191" s="171">
        <v>0.0835</v>
      </c>
      <c r="K191" s="173"/>
      <c r="L191" s="33" t="s">
        <v>360</v>
      </c>
    </row>
    <row r="192" spans="8:8" s="105" ht="44.4" customFormat="1">
      <c r="A192" s="22"/>
      <c r="B192" s="65" t="s">
        <v>361</v>
      </c>
      <c r="C192" s="169" t="s">
        <v>359</v>
      </c>
      <c r="D192" s="170" t="s">
        <v>362</v>
      </c>
      <c r="E192" s="171">
        <v>0.1084</v>
      </c>
      <c r="F192" s="171">
        <v>0.2912</v>
      </c>
      <c r="G192" s="172" t="s">
        <v>354</v>
      </c>
      <c r="H192" s="172" t="s">
        <v>359</v>
      </c>
      <c r="I192" s="171">
        <v>0.0671</v>
      </c>
      <c r="J192" s="171">
        <v>0.3006</v>
      </c>
      <c r="K192" s="173"/>
      <c r="L192" s="33" t="s">
        <v>363</v>
      </c>
    </row>
    <row r="193" spans="8:8" s="105" ht="44.4" customFormat="1">
      <c r="A193" s="22"/>
      <c r="B193" s="67" t="s">
        <v>364</v>
      </c>
      <c r="C193" s="169" t="s">
        <v>365</v>
      </c>
      <c r="D193" s="170" t="s">
        <v>366</v>
      </c>
      <c r="E193" s="171">
        <v>0.6056</v>
      </c>
      <c r="F193" s="171">
        <v>0.5127</v>
      </c>
      <c r="G193" s="172" t="s">
        <v>367</v>
      </c>
      <c r="H193" s="172" t="s">
        <v>368</v>
      </c>
      <c r="I193" s="171">
        <v>2.022</v>
      </c>
      <c r="J193" s="171">
        <v>1.4405</v>
      </c>
      <c r="K193" s="173"/>
      <c r="L193" s="33" t="s">
        <v>369</v>
      </c>
    </row>
    <row r="194" spans="8:8" s="105" ht="22.2" customFormat="1">
      <c r="A194" s="22" t="s">
        <v>370</v>
      </c>
      <c r="B194" s="67" t="s">
        <v>371</v>
      </c>
      <c r="C194" s="174">
        <v>28160.05</v>
      </c>
      <c r="D194" s="27">
        <v>106592.0</v>
      </c>
      <c r="E194" s="175">
        <v>0.15</v>
      </c>
      <c r="F194" s="175">
        <v>0.1951919626838894</v>
      </c>
      <c r="G194" s="176">
        <v>3000.0</v>
      </c>
      <c r="H194" s="176">
        <v>15802.0</v>
      </c>
      <c r="I194" s="175">
        <v>-0.25668979187314167</v>
      </c>
      <c r="J194" s="175">
        <v>0.17390981353539847</v>
      </c>
      <c r="K194" s="37"/>
      <c r="L194" s="33" t="s">
        <v>372</v>
      </c>
    </row>
    <row r="195" spans="8:8" s="105" ht="22.2" customFormat="1">
      <c r="A195" s="22"/>
      <c r="B195" s="67" t="s">
        <v>373</v>
      </c>
      <c r="C195" s="174">
        <v>5344.2</v>
      </c>
      <c r="D195" s="27">
        <v>20710.0</v>
      </c>
      <c r="E195" s="175">
        <v>0.8</v>
      </c>
      <c r="F195" s="175">
        <v>0.694208115183246</v>
      </c>
      <c r="G195" s="176">
        <v>1900.0</v>
      </c>
      <c r="H195" s="176">
        <v>5447.0</v>
      </c>
      <c r="I195" s="175">
        <v>1.3284313725490198</v>
      </c>
      <c r="J195" s="175">
        <v>0.7177546515294859</v>
      </c>
      <c r="K195" s="37"/>
      <c r="L195" s="33" t="s">
        <v>374</v>
      </c>
    </row>
    <row r="196" spans="8:8" s="105" ht="22.2" customFormat="1">
      <c r="A196" s="22"/>
      <c r="B196" s="67" t="s">
        <v>375</v>
      </c>
      <c r="C196" s="174">
        <v>1523.75</v>
      </c>
      <c r="D196" s="27">
        <v>6952.0</v>
      </c>
      <c r="E196" s="175">
        <v>0.25</v>
      </c>
      <c r="F196" s="175">
        <v>0.31916508538899424</v>
      </c>
      <c r="G196" s="176">
        <v>190.0</v>
      </c>
      <c r="H196" s="176">
        <v>904.0</v>
      </c>
      <c r="I196" s="175">
        <v>0.3194444444444444</v>
      </c>
      <c r="J196" s="175">
        <v>0.4795417348608837</v>
      </c>
      <c r="K196" s="37"/>
      <c r="L196" s="33" t="s">
        <v>376</v>
      </c>
    </row>
    <row r="197" spans="8:8" s="105" ht="40.8" customFormat="1" customHeight="1">
      <c r="A197" s="22" t="s">
        <v>377</v>
      </c>
      <c r="B197" s="67" t="s">
        <v>378</v>
      </c>
      <c r="C197" s="169" t="s">
        <v>379</v>
      </c>
      <c r="D197" s="170" t="s">
        <v>380</v>
      </c>
      <c r="E197" s="171">
        <v>0.5892</v>
      </c>
      <c r="F197" s="171">
        <v>0.6096</v>
      </c>
      <c r="G197" s="172" t="s">
        <v>347</v>
      </c>
      <c r="H197" s="172" t="s">
        <v>381</v>
      </c>
      <c r="I197" s="171">
        <v>0.3021</v>
      </c>
      <c r="J197" s="171">
        <v>0.9585</v>
      </c>
      <c r="K197" s="173"/>
      <c r="L197" s="33" t="s">
        <v>382</v>
      </c>
    </row>
    <row r="198" spans="8:8" s="105" ht="44.4" customFormat="1">
      <c r="A198" s="22"/>
      <c r="B198" s="67" t="s">
        <v>383</v>
      </c>
      <c r="C198" s="169" t="s">
        <v>281</v>
      </c>
      <c r="D198" s="170" t="s">
        <v>384</v>
      </c>
      <c r="E198" s="171">
        <v>0.8229</v>
      </c>
      <c r="F198" s="171">
        <v>0.7502</v>
      </c>
      <c r="G198" s="172" t="s">
        <v>353</v>
      </c>
      <c r="H198" s="172" t="s">
        <v>385</v>
      </c>
      <c r="I198" s="171">
        <v>2.33</v>
      </c>
      <c r="J198" s="171">
        <v>5.25</v>
      </c>
      <c r="K198" s="173"/>
      <c r="L198" s="33" t="s">
        <v>386</v>
      </c>
    </row>
    <row r="199" spans="8:8" s="105" ht="44.4" customFormat="1">
      <c r="A199" s="22" t="s">
        <v>387</v>
      </c>
      <c r="B199" s="67" t="s">
        <v>388</v>
      </c>
      <c r="C199" s="174" t="s">
        <v>389</v>
      </c>
      <c r="D199" s="27">
        <v>600000.0</v>
      </c>
      <c r="E199" s="175">
        <v>0.7</v>
      </c>
      <c r="F199" s="175">
        <v>0.4</v>
      </c>
      <c r="G199" s="176" t="s">
        <v>390</v>
      </c>
      <c r="H199" s="174">
        <v>100000.0</v>
      </c>
      <c r="I199" s="175">
        <v>0.52</v>
      </c>
      <c r="J199" s="175">
        <f>1000/722-1</f>
        <v>0.38504155124653994</v>
      </c>
      <c r="K199" s="37"/>
      <c r="L199" s="33" t="s">
        <v>391</v>
      </c>
    </row>
    <row r="200" spans="8:8" s="105" ht="49.2" customFormat="1" customHeight="1">
      <c r="A200" s="22"/>
      <c r="B200" s="67" t="s">
        <v>392</v>
      </c>
      <c r="C200" s="174" t="s">
        <v>393</v>
      </c>
      <c r="D200" s="27">
        <v>18600.0</v>
      </c>
      <c r="E200" s="175">
        <v>0.5</v>
      </c>
      <c r="F200" s="175">
        <v>0.37</v>
      </c>
      <c r="G200" s="176" t="s">
        <v>394</v>
      </c>
      <c r="H200" s="174">
        <v>2000.0</v>
      </c>
      <c r="I200" s="171" t="s">
        <v>275</v>
      </c>
      <c r="J200" s="175">
        <v>13.0</v>
      </c>
      <c r="K200" s="37"/>
      <c r="L200" s="33" t="s">
        <v>395</v>
      </c>
    </row>
    <row r="201" spans="8:8" s="105" ht="45.0" customFormat="1" customHeight="1">
      <c r="A201" s="22"/>
      <c r="B201" s="67" t="s">
        <v>396</v>
      </c>
      <c r="C201" s="174" t="s">
        <v>397</v>
      </c>
      <c r="D201" s="27">
        <v>6000.0</v>
      </c>
      <c r="E201" s="175">
        <v>0.2</v>
      </c>
      <c r="F201" s="175">
        <v>0.45</v>
      </c>
      <c r="G201" s="176" t="s">
        <v>398</v>
      </c>
      <c r="H201" s="176" t="s">
        <v>399</v>
      </c>
      <c r="I201" s="175">
        <v>1.78</v>
      </c>
      <c r="J201" s="175">
        <v>15.67</v>
      </c>
      <c r="K201" s="37" t="s">
        <v>3</v>
      </c>
      <c r="L201" s="33" t="s">
        <v>400</v>
      </c>
    </row>
    <row r="202" spans="8:8" s="105" ht="42.0" customFormat="1" customHeight="1">
      <c r="A202" s="22"/>
      <c r="B202" s="67" t="s">
        <v>401</v>
      </c>
      <c r="C202" s="174" t="s">
        <v>402</v>
      </c>
      <c r="D202" s="27">
        <v>26150.0</v>
      </c>
      <c r="E202" s="175">
        <v>0.52</v>
      </c>
      <c r="F202" s="175">
        <v>0.3</v>
      </c>
      <c r="G202" s="176" t="s">
        <v>403</v>
      </c>
      <c r="H202" s="174">
        <v>1100.0</v>
      </c>
      <c r="I202" s="175">
        <v>0.29</v>
      </c>
      <c r="J202" s="175">
        <v>0.46</v>
      </c>
      <c r="K202" s="37"/>
      <c r="L202" s="33" t="s">
        <v>404</v>
      </c>
    </row>
    <row r="203" spans="8:8" s="105" ht="43.8" customFormat="1" customHeight="1">
      <c r="A203" s="22"/>
      <c r="B203" s="67" t="s">
        <v>405</v>
      </c>
      <c r="C203" s="174" t="s">
        <v>406</v>
      </c>
      <c r="D203" s="27">
        <v>33000.0</v>
      </c>
      <c r="E203" s="175">
        <v>1.18</v>
      </c>
      <c r="F203" s="175">
        <v>0.99</v>
      </c>
      <c r="G203" s="176" t="s">
        <v>407</v>
      </c>
      <c r="H203" s="174">
        <v>6700.0</v>
      </c>
      <c r="I203" s="175">
        <v>12.13</v>
      </c>
      <c r="J203" s="175">
        <v>3.92</v>
      </c>
      <c r="K203" s="37"/>
      <c r="L203" s="33" t="s">
        <v>408</v>
      </c>
    </row>
    <row r="204" spans="8:8" s="105" ht="44.4" customFormat="1">
      <c r="A204" s="22"/>
      <c r="B204" s="23" t="s">
        <v>409</v>
      </c>
      <c r="C204" s="27">
        <v>24657.534246575346</v>
      </c>
      <c r="D204" s="177">
        <v>99323.243809524</v>
      </c>
      <c r="E204" s="178">
        <v>0.6039066983629</v>
      </c>
      <c r="F204" s="178">
        <v>0.615809995204299</v>
      </c>
      <c r="G204" s="174" t="s">
        <v>410</v>
      </c>
      <c r="H204" s="174" t="s">
        <v>411</v>
      </c>
      <c r="I204" s="178">
        <v>2.5710350488927856</v>
      </c>
      <c r="J204" s="178">
        <v>0.7415266446671154</v>
      </c>
      <c r="K204" s="179"/>
      <c r="L204" s="33" t="s">
        <v>412</v>
      </c>
    </row>
    <row r="205" spans="8:8" s="105" ht="44.4" customFormat="1">
      <c r="A205" s="22"/>
      <c r="B205" s="23" t="s">
        <v>413</v>
      </c>
      <c r="C205" s="27">
        <v>2800.0</v>
      </c>
      <c r="D205" s="177">
        <v>10071.217272726999</v>
      </c>
      <c r="E205" s="178">
        <v>0.4009363508615258</v>
      </c>
      <c r="F205" s="178">
        <v>0.2413118414120028</v>
      </c>
      <c r="G205" s="174" t="s">
        <v>414</v>
      </c>
      <c r="H205" s="174" t="s">
        <v>415</v>
      </c>
      <c r="I205" s="178">
        <v>0.5152416778896505</v>
      </c>
      <c r="J205" s="178">
        <v>0.54796738745905</v>
      </c>
      <c r="K205" s="180" t="s">
        <v>535</v>
      </c>
      <c r="L205" s="33" t="s">
        <v>416</v>
      </c>
    </row>
    <row r="206" spans="8:8" s="105" ht="44.4" customFormat="1">
      <c r="A206" s="22"/>
      <c r="B206" s="23" t="s">
        <v>417</v>
      </c>
      <c r="C206" s="27">
        <v>7600.0</v>
      </c>
      <c r="D206" s="177">
        <v>23146.166666667</v>
      </c>
      <c r="E206" s="178">
        <v>1.9112148220860035</v>
      </c>
      <c r="F206" s="178">
        <v>0.9378975172231028</v>
      </c>
      <c r="G206" s="174" t="s">
        <v>418</v>
      </c>
      <c r="H206" s="174" t="s">
        <v>419</v>
      </c>
      <c r="I206" s="178">
        <v>-11.984291781495124</v>
      </c>
      <c r="J206" s="178">
        <v>7.251525034418901</v>
      </c>
      <c r="K206" s="179"/>
      <c r="L206" s="33" t="s">
        <v>420</v>
      </c>
    </row>
    <row r="207" spans="8:8" s="105" ht="44.4" customFormat="1">
      <c r="A207" s="22"/>
      <c r="B207" s="23" t="s">
        <v>421</v>
      </c>
      <c r="C207" s="27">
        <v>6500.0</v>
      </c>
      <c r="D207" s="177">
        <v>36267.555555556</v>
      </c>
      <c r="E207" s="178">
        <v>1.0858266061443897</v>
      </c>
      <c r="F207" s="178">
        <v>1.6900168729369422</v>
      </c>
      <c r="G207" s="174" t="s">
        <v>422</v>
      </c>
      <c r="H207" s="174" t="s">
        <v>423</v>
      </c>
      <c r="I207" s="178">
        <v>6.100385845400462</v>
      </c>
      <c r="J207" s="178">
        <v>2.976052490318173</v>
      </c>
      <c r="K207" s="179"/>
      <c r="L207" s="33" t="s">
        <v>424</v>
      </c>
    </row>
    <row r="208" spans="8:8" s="105" ht="44.4" customFormat="1">
      <c r="A208" s="22"/>
      <c r="B208" s="23" t="s">
        <v>425</v>
      </c>
      <c r="C208" s="27">
        <v>16000.0</v>
      </c>
      <c r="D208" s="177">
        <v>63622.252</v>
      </c>
      <c r="E208" s="178">
        <v>1.1064727564069297</v>
      </c>
      <c r="F208" s="178">
        <v>0.8374780560721904</v>
      </c>
      <c r="G208" s="174" t="s">
        <v>426</v>
      </c>
      <c r="H208" s="174" t="s">
        <v>427</v>
      </c>
      <c r="I208" s="178">
        <v>5.450049343949328</v>
      </c>
      <c r="J208" s="178">
        <v>2.1318915255641473</v>
      </c>
      <c r="K208" s="179"/>
      <c r="L208" s="33" t="s">
        <v>428</v>
      </c>
    </row>
    <row r="209" spans="8:8" s="105" ht="44.4" customFormat="1">
      <c r="A209" s="22"/>
      <c r="B209" s="23" t="s">
        <v>429</v>
      </c>
      <c r="C209" s="27">
        <v>4600.0</v>
      </c>
      <c r="D209" s="177">
        <v>28311.15</v>
      </c>
      <c r="E209" s="178">
        <v>1.1318759318307468</v>
      </c>
      <c r="F209" s="178">
        <v>1.4635992221829448</v>
      </c>
      <c r="G209" s="174" t="s">
        <v>422</v>
      </c>
      <c r="H209" s="174" t="s">
        <v>430</v>
      </c>
      <c r="I209" s="178">
        <v>-3.1831872015509353</v>
      </c>
      <c r="J209" s="178" t="s">
        <v>431</v>
      </c>
      <c r="K209" s="179"/>
      <c r="L209" s="33" t="s">
        <v>432</v>
      </c>
    </row>
    <row r="210" spans="8:8" s="105" ht="44.4" customFormat="1">
      <c r="A210" s="22"/>
      <c r="B210" s="23" t="s">
        <v>433</v>
      </c>
      <c r="C210" s="27">
        <v>2450.0</v>
      </c>
      <c r="D210" s="177">
        <v>10131.636363636</v>
      </c>
      <c r="E210" s="178">
        <v>0.39191962195889674</v>
      </c>
      <c r="F210" s="178">
        <v>0.2755363704052116</v>
      </c>
      <c r="G210" s="174" t="s">
        <v>434</v>
      </c>
      <c r="H210" s="174" t="s">
        <v>415</v>
      </c>
      <c r="I210" s="178">
        <v>-5.471642261589693E-5</v>
      </c>
      <c r="J210" s="178">
        <v>0.2687385979823451</v>
      </c>
      <c r="K210" s="179"/>
      <c r="L210" s="33" t="s">
        <v>435</v>
      </c>
    </row>
    <row r="211" spans="8:8" s="105" ht="22.2" customFormat="1">
      <c r="A211" s="22"/>
      <c r="B211" s="23" t="s">
        <v>436</v>
      </c>
      <c r="C211" s="27">
        <v>2800.0</v>
      </c>
      <c r="D211" s="177">
        <v>11041.89</v>
      </c>
      <c r="E211" s="178">
        <v>0.3895352711625166</v>
      </c>
      <c r="F211" s="178">
        <v>0.30400807942182184</v>
      </c>
      <c r="G211" s="174" t="s">
        <v>437</v>
      </c>
      <c r="H211" s="174" t="s">
        <v>438</v>
      </c>
      <c r="I211" s="178">
        <v>-0.41948484823329635</v>
      </c>
      <c r="J211" s="178">
        <v>0.3830797020533021</v>
      </c>
      <c r="K211" s="179"/>
      <c r="L211" s="33" t="s">
        <v>435</v>
      </c>
    </row>
    <row r="212" spans="8:8" s="105" ht="44.4" customFormat="1">
      <c r="A212" s="22"/>
      <c r="B212" s="23" t="s">
        <v>439</v>
      </c>
      <c r="C212" s="27">
        <v>5100.0</v>
      </c>
      <c r="D212" s="177">
        <v>20554.583333333</v>
      </c>
      <c r="E212" s="178">
        <v>0.3168848989330493</v>
      </c>
      <c r="F212" s="178">
        <v>0.30826824334586234</v>
      </c>
      <c r="G212" s="174" t="s">
        <v>440</v>
      </c>
      <c r="H212" s="174" t="s">
        <v>441</v>
      </c>
      <c r="I212" s="178">
        <v>0.2683746107644829</v>
      </c>
      <c r="J212" s="178">
        <v>0.8140281090184633</v>
      </c>
      <c r="K212" s="179"/>
      <c r="L212" s="33" t="s">
        <v>442</v>
      </c>
    </row>
    <row r="213" spans="8:8" s="105" ht="44.4" customFormat="1">
      <c r="A213" s="22"/>
      <c r="B213" s="23" t="s">
        <v>443</v>
      </c>
      <c r="C213" s="27">
        <v>4700.0</v>
      </c>
      <c r="D213" s="177">
        <v>20114.775263158</v>
      </c>
      <c r="E213" s="178">
        <v>0.29728470692467224</v>
      </c>
      <c r="F213" s="178">
        <v>0.3222114425228544</v>
      </c>
      <c r="G213" s="174" t="s">
        <v>444</v>
      </c>
      <c r="H213" s="174" t="s">
        <v>445</v>
      </c>
      <c r="I213" s="178">
        <v>0.3767387084384053</v>
      </c>
      <c r="J213" s="178">
        <v>9.809040241753227</v>
      </c>
      <c r="K213" s="179"/>
      <c r="L213" s="33" t="s">
        <v>446</v>
      </c>
    </row>
    <row r="214" spans="8:8" s="105" ht="44.4" customFormat="1">
      <c r="A214" s="22"/>
      <c r="B214" s="23" t="s">
        <v>447</v>
      </c>
      <c r="C214" s="27">
        <v>3700.0</v>
      </c>
      <c r="D214" s="177">
        <v>16903.666666667</v>
      </c>
      <c r="E214" s="178">
        <v>0.6589184518952789</v>
      </c>
      <c r="F214" s="178">
        <v>0.791734472594035</v>
      </c>
      <c r="G214" s="174" t="s">
        <v>448</v>
      </c>
      <c r="H214" s="174" t="s">
        <v>449</v>
      </c>
      <c r="I214" s="178" t="s">
        <v>431</v>
      </c>
      <c r="J214" s="178">
        <v>24.553243581766527</v>
      </c>
      <c r="K214" s="180"/>
      <c r="L214" s="33" t="s">
        <v>450</v>
      </c>
    </row>
    <row r="215" spans="8:8" s="105" ht="22.2" customFormat="1">
      <c r="A215" s="22"/>
      <c r="B215" s="23" t="s">
        <v>451</v>
      </c>
      <c r="C215" s="27">
        <v>400.0</v>
      </c>
      <c r="D215" s="177">
        <v>1500.0</v>
      </c>
      <c r="E215" s="178">
        <v>1.1773376281416028</v>
      </c>
      <c r="F215" s="178">
        <v>0.7251516074541</v>
      </c>
      <c r="G215" s="174" t="s">
        <v>452</v>
      </c>
      <c r="H215" s="174" t="s">
        <v>453</v>
      </c>
      <c r="I215" s="178" t="s">
        <v>431</v>
      </c>
      <c r="J215" s="178">
        <v>66.89086324671905</v>
      </c>
      <c r="K215" s="179"/>
      <c r="L215" s="33" t="s">
        <v>454</v>
      </c>
    </row>
    <row r="216" spans="8:8" s="105" ht="22.2" customFormat="1">
      <c r="A216" s="22"/>
      <c r="B216" s="23" t="s">
        <v>455</v>
      </c>
      <c r="C216" s="27">
        <v>1600.0</v>
      </c>
      <c r="D216" s="177">
        <v>7200.0</v>
      </c>
      <c r="E216" s="178">
        <v>0.34543220575845957</v>
      </c>
      <c r="F216" s="178">
        <v>0.42645874066110867</v>
      </c>
      <c r="G216" s="174" t="s">
        <v>456</v>
      </c>
      <c r="H216" s="174" t="s">
        <v>457</v>
      </c>
      <c r="I216" s="178" t="s">
        <v>431</v>
      </c>
      <c r="J216" s="178" t="s">
        <v>431</v>
      </c>
      <c r="K216" s="179"/>
      <c r="L216" s="33" t="s">
        <v>458</v>
      </c>
    </row>
    <row r="217" spans="8:8" s="105" ht="22.2" customFormat="1">
      <c r="A217" s="22" t="s">
        <v>459</v>
      </c>
      <c r="B217" s="67" t="s">
        <v>460</v>
      </c>
      <c r="C217" s="174">
        <v>600.0</v>
      </c>
      <c r="D217" s="27">
        <v>2530.0</v>
      </c>
      <c r="E217" s="175">
        <v>-0.0763275213295219</v>
      </c>
      <c r="F217" s="175">
        <v>0.0122145894929726</v>
      </c>
      <c r="G217" s="174">
        <v>132.0</v>
      </c>
      <c r="H217" s="174">
        <v>748.0</v>
      </c>
      <c r="I217" s="175">
        <v>-0.400352974044824</v>
      </c>
      <c r="J217" s="175">
        <v>0.0472816879716618</v>
      </c>
      <c r="K217" s="37"/>
      <c r="L217" s="66" t="s">
        <v>461</v>
      </c>
    </row>
    <row r="218" spans="8:8" s="105" ht="22.2" customFormat="1">
      <c r="A218" s="22"/>
      <c r="B218" s="67" t="s">
        <v>462</v>
      </c>
      <c r="C218" s="174">
        <v>2900.0</v>
      </c>
      <c r="D218" s="27">
        <v>12014.0</v>
      </c>
      <c r="E218" s="175">
        <v>0.228398506369077</v>
      </c>
      <c r="F218" s="175">
        <v>0.152285003989933</v>
      </c>
      <c r="G218" s="174">
        <v>142.0</v>
      </c>
      <c r="H218" s="174">
        <v>235.0</v>
      </c>
      <c r="I218" s="175">
        <v>0.0404706444396736</v>
      </c>
      <c r="J218" s="175">
        <v>0.499585221109055</v>
      </c>
      <c r="K218" s="37"/>
      <c r="L218" s="66" t="s">
        <v>463</v>
      </c>
    </row>
    <row r="219" spans="8:8" s="105" ht="22.2" customFormat="1">
      <c r="A219" s="22"/>
      <c r="B219" s="67" t="s">
        <v>464</v>
      </c>
      <c r="C219" s="174">
        <v>200.0</v>
      </c>
      <c r="D219" s="27">
        <v>637.93</v>
      </c>
      <c r="E219" s="175">
        <v>0.71</v>
      </c>
      <c r="F219" s="175">
        <v>0.244498634412797</v>
      </c>
      <c r="G219" s="174">
        <v>17.0</v>
      </c>
      <c r="H219" s="174">
        <v>98.67</v>
      </c>
      <c r="I219" s="175">
        <v>0.6</v>
      </c>
      <c r="J219" s="175">
        <v>0.542924159499609</v>
      </c>
      <c r="K219" s="37"/>
      <c r="L219" s="66" t="s">
        <v>465</v>
      </c>
    </row>
    <row r="220" spans="8:8" s="105" ht="22.2" customFormat="1">
      <c r="A220" s="22"/>
      <c r="B220" s="67" t="s">
        <v>466</v>
      </c>
      <c r="C220" s="174">
        <v>3500.0</v>
      </c>
      <c r="D220" s="27">
        <v>13953.0</v>
      </c>
      <c r="E220" s="175">
        <v>0.246351794759048</v>
      </c>
      <c r="F220" s="175">
        <v>0.063912526306158</v>
      </c>
      <c r="G220" s="174">
        <v>420.0</v>
      </c>
      <c r="H220" s="174">
        <v>548.4</v>
      </c>
      <c r="I220" s="175">
        <v>3.10361029771693</v>
      </c>
      <c r="J220" s="175">
        <v>0.065205990326904</v>
      </c>
      <c r="K220" s="37"/>
      <c r="L220" s="181" t="s">
        <v>467</v>
      </c>
    </row>
    <row r="221" spans="8:8" s="105" ht="22.2" customFormat="1">
      <c r="A221" s="22" t="s">
        <v>468</v>
      </c>
      <c r="B221" s="59" t="s">
        <v>469</v>
      </c>
      <c r="C221" s="182">
        <v>7114.9336446915</v>
      </c>
      <c r="D221" s="183">
        <v>28500.0</v>
      </c>
      <c r="E221" s="184">
        <v>0.35</v>
      </c>
      <c r="F221" s="184">
        <v>0.3231792768985633</v>
      </c>
      <c r="G221" s="182">
        <v>1100.0579769790002</v>
      </c>
      <c r="H221" s="183">
        <v>4500.0</v>
      </c>
      <c r="I221" s="184">
        <v>0.3</v>
      </c>
      <c r="J221" s="184">
        <v>0.42850673080320956</v>
      </c>
      <c r="K221" s="62"/>
      <c r="L221" s="63" t="s">
        <v>470</v>
      </c>
    </row>
    <row r="222" spans="8:8" s="105" ht="22.2" customFormat="1">
      <c r="A222" s="22"/>
      <c r="B222" s="59" t="s">
        <v>471</v>
      </c>
      <c r="C222" s="182">
        <v>2264.4618393</v>
      </c>
      <c r="D222" s="182">
        <v>9500.0</v>
      </c>
      <c r="E222" s="184">
        <v>0.25</v>
      </c>
      <c r="F222" s="184">
        <v>0.30226420876284554</v>
      </c>
      <c r="G222" s="182">
        <v>205.034105809</v>
      </c>
      <c r="H222" s="183">
        <v>950.0</v>
      </c>
      <c r="I222" s="184">
        <v>0.3</v>
      </c>
      <c r="J222" s="184">
        <v>0.44040053406267354</v>
      </c>
      <c r="K222" s="62"/>
      <c r="L222" s="63" t="s">
        <v>472</v>
      </c>
    </row>
    <row r="223" spans="8:8" s="105" ht="22.2" customFormat="1">
      <c r="A223" s="22"/>
      <c r="B223" s="135" t="s">
        <v>473</v>
      </c>
      <c r="C223" s="182">
        <v>4341.419940819999</v>
      </c>
      <c r="D223" s="185">
        <v>16500.0</v>
      </c>
      <c r="E223" s="184">
        <v>0.0</v>
      </c>
      <c r="F223" s="184">
        <v>0.14896376455032234</v>
      </c>
      <c r="G223" s="182">
        <v>888.5093487119999</v>
      </c>
      <c r="H223" s="185">
        <v>1500.0</v>
      </c>
      <c r="I223" s="184">
        <v>0.2</v>
      </c>
      <c r="J223" s="184">
        <v>0.1774303927556402</v>
      </c>
      <c r="K223" s="62"/>
      <c r="L223" s="63" t="s">
        <v>474</v>
      </c>
    </row>
    <row r="224" spans="8:8" s="105" ht="44.4" customFormat="1">
      <c r="A224" s="22"/>
      <c r="B224" s="135" t="s">
        <v>475</v>
      </c>
      <c r="C224" s="182">
        <v>1409.9894123445004</v>
      </c>
      <c r="D224" s="182">
        <v>8000.0</v>
      </c>
      <c r="E224" s="184">
        <v>-0.35</v>
      </c>
      <c r="F224" s="184">
        <v>0.1578049731407074</v>
      </c>
      <c r="G224" s="182">
        <v>126.1883871495</v>
      </c>
      <c r="H224" s="182">
        <v>700.0</v>
      </c>
      <c r="I224" s="184">
        <v>-0.35</v>
      </c>
      <c r="J224" s="184">
        <v>0.1898877761377653</v>
      </c>
      <c r="K224" s="62"/>
      <c r="L224" s="63" t="s">
        <v>476</v>
      </c>
    </row>
    <row r="225" spans="8:8" s="105" ht="22.2" customFormat="1">
      <c r="A225" s="22"/>
      <c r="B225" s="135" t="s">
        <v>477</v>
      </c>
      <c r="C225" s="182">
        <v>3503.760052298</v>
      </c>
      <c r="D225" s="182">
        <v>14500.0</v>
      </c>
      <c r="E225" s="184">
        <v>0.1</v>
      </c>
      <c r="F225" s="184">
        <v>0.1584308558656662</v>
      </c>
      <c r="G225" s="182">
        <v>352.35978167249993</v>
      </c>
      <c r="H225" s="182">
        <v>1350.0</v>
      </c>
      <c r="I225" s="184">
        <v>0.15</v>
      </c>
      <c r="J225" s="184">
        <v>0.20553686369001323</v>
      </c>
      <c r="K225" s="62"/>
      <c r="L225" s="63" t="s">
        <v>478</v>
      </c>
    </row>
    <row r="226" spans="8:8" s="105" ht="22.2" customFormat="1">
      <c r="A226" s="22"/>
      <c r="B226" s="135" t="s">
        <v>479</v>
      </c>
      <c r="C226" s="182">
        <v>7162.9182942856</v>
      </c>
      <c r="D226" s="182">
        <v>28000.0</v>
      </c>
      <c r="E226" s="184">
        <v>0.18</v>
      </c>
      <c r="F226" s="184">
        <v>0.17582837934268047</v>
      </c>
      <c r="G226" s="182">
        <v>379.1240786999999</v>
      </c>
      <c r="H226" s="182">
        <v>1550.0</v>
      </c>
      <c r="I226" s="184">
        <v>0.25</v>
      </c>
      <c r="J226" s="184">
        <v>0.22078042737097792</v>
      </c>
      <c r="K226" s="62"/>
      <c r="L226" s="63" t="s">
        <v>480</v>
      </c>
    </row>
    <row r="227" spans="8:8" s="105" ht="22.2" customFormat="1">
      <c r="A227" s="22"/>
      <c r="B227" s="135" t="s">
        <v>481</v>
      </c>
      <c r="C227" s="182">
        <v>1310.4117178795</v>
      </c>
      <c r="D227" s="182">
        <v>5500.0</v>
      </c>
      <c r="E227" s="184">
        <v>0.15</v>
      </c>
      <c r="F227" s="184">
        <v>0.15336088997093</v>
      </c>
      <c r="G227" s="182">
        <v>267.706413135</v>
      </c>
      <c r="H227" s="182">
        <v>850.0</v>
      </c>
      <c r="I227" s="184">
        <v>0.05</v>
      </c>
      <c r="J227" s="184">
        <v>0.16582679292958513</v>
      </c>
      <c r="K227" s="62"/>
      <c r="L227" s="63" t="s">
        <v>482</v>
      </c>
    </row>
    <row r="228" spans="8:8" s="105" ht="22.2" customFormat="1">
      <c r="A228" s="22"/>
      <c r="B228" s="135" t="s">
        <v>483</v>
      </c>
      <c r="C228" s="182">
        <v>228.324587127</v>
      </c>
      <c r="D228" s="182">
        <v>900.0</v>
      </c>
      <c r="E228" s="184">
        <v>0.3</v>
      </c>
      <c r="F228" s="184">
        <v>0.25458933263033034</v>
      </c>
      <c r="G228" s="182">
        <v>38.175417982</v>
      </c>
      <c r="H228" s="182">
        <v>170.0</v>
      </c>
      <c r="I228" s="184">
        <v>0.3</v>
      </c>
      <c r="J228" s="184">
        <v>0.305151976651137</v>
      </c>
      <c r="K228" s="62"/>
      <c r="L228" s="63" t="s">
        <v>484</v>
      </c>
    </row>
    <row r="229" spans="8:8" s="105" ht="44.4" customFormat="1">
      <c r="A229" s="22"/>
      <c r="B229" s="135" t="s">
        <v>485</v>
      </c>
      <c r="C229" s="182">
        <v>13261.162960697</v>
      </c>
      <c r="D229" s="185">
        <v>54000.0</v>
      </c>
      <c r="E229" s="184">
        <v>0.15</v>
      </c>
      <c r="F229" s="184">
        <v>0.19721065348108135</v>
      </c>
      <c r="G229" s="182">
        <v>1810.1193015290003</v>
      </c>
      <c r="H229" s="185">
        <v>6000.0</v>
      </c>
      <c r="I229" s="184">
        <v>0.1</v>
      </c>
      <c r="J229" s="184">
        <v>0.18811832019077301</v>
      </c>
      <c r="K229" s="62"/>
      <c r="L229" s="63" t="s">
        <v>486</v>
      </c>
    </row>
    <row r="230" spans="8:8" s="105" ht="44.4" customFormat="1">
      <c r="A230" s="22"/>
      <c r="B230" s="135" t="s">
        <v>487</v>
      </c>
      <c r="C230" s="182">
        <v>659.945491578</v>
      </c>
      <c r="D230" s="182">
        <v>2650.0</v>
      </c>
      <c r="E230" s="184">
        <v>0.35</v>
      </c>
      <c r="F230" s="184">
        <v>0.3160601130756948</v>
      </c>
      <c r="G230" s="182">
        <v>109.4590420515</v>
      </c>
      <c r="H230" s="182">
        <v>345.0</v>
      </c>
      <c r="I230" s="184">
        <v>0.35</v>
      </c>
      <c r="J230" s="184">
        <v>0.3573790988494696</v>
      </c>
      <c r="K230" s="62"/>
      <c r="L230" s="63" t="s">
        <v>488</v>
      </c>
    </row>
    <row r="231" spans="8:8" s="105" ht="44.4" customFormat="1">
      <c r="A231" s="22"/>
      <c r="B231" s="135" t="s">
        <v>489</v>
      </c>
      <c r="C231" s="182">
        <v>726.2501729625</v>
      </c>
      <c r="D231" s="182">
        <v>2600.0</v>
      </c>
      <c r="E231" s="184">
        <v>0.45</v>
      </c>
      <c r="F231" s="184">
        <v>0.3875261556539209</v>
      </c>
      <c r="G231" s="182">
        <v>94.68281814</v>
      </c>
      <c r="H231" s="182">
        <v>350.0</v>
      </c>
      <c r="I231" s="184">
        <v>0.5</v>
      </c>
      <c r="J231" s="184">
        <v>0.5529860508894273</v>
      </c>
      <c r="K231" s="62"/>
      <c r="L231" s="63" t="s">
        <v>490</v>
      </c>
    </row>
    <row r="232" spans="8:8" s="105" ht="22.2" customFormat="1">
      <c r="A232" s="22"/>
      <c r="B232" s="135" t="s">
        <v>491</v>
      </c>
      <c r="C232" s="182">
        <v>3233.304707262</v>
      </c>
      <c r="D232" s="182">
        <v>13500.0</v>
      </c>
      <c r="E232" s="184">
        <v>0.05</v>
      </c>
      <c r="F232" s="184">
        <v>0.10462988936464823</v>
      </c>
      <c r="G232" s="182">
        <v>333.1410414045001</v>
      </c>
      <c r="H232" s="182">
        <v>1200.0</v>
      </c>
      <c r="I232" s="184">
        <v>0.05</v>
      </c>
      <c r="J232" s="184">
        <v>0.10832270373569775</v>
      </c>
      <c r="K232" s="62"/>
      <c r="L232" s="63" t="s">
        <v>492</v>
      </c>
    </row>
    <row r="233" spans="8:8" s="105" ht="22.2" customFormat="1">
      <c r="A233" s="22"/>
      <c r="B233" s="135" t="s">
        <v>493</v>
      </c>
      <c r="C233" s="182">
        <v>637.8110548625</v>
      </c>
      <c r="D233" s="182">
        <v>2400.0</v>
      </c>
      <c r="E233" s="184">
        <v>0.25</v>
      </c>
      <c r="F233" s="184">
        <v>0.23317013213951743</v>
      </c>
      <c r="G233" s="182">
        <v>105.3226200375</v>
      </c>
      <c r="H233" s="182">
        <v>340.0</v>
      </c>
      <c r="I233" s="184">
        <v>0.25</v>
      </c>
      <c r="J233" s="184">
        <v>0.2938868386400122</v>
      </c>
      <c r="K233" s="62"/>
      <c r="L233" s="63" t="s">
        <v>494</v>
      </c>
    </row>
    <row r="234" spans="8:8" s="105" ht="22.2" customFormat="1">
      <c r="A234" s="22"/>
      <c r="B234" s="135" t="s">
        <v>495</v>
      </c>
      <c r="C234" s="182">
        <v>5891.7566306205</v>
      </c>
      <c r="D234" s="185">
        <v>22500.0</v>
      </c>
      <c r="E234" s="184">
        <v>0.35</v>
      </c>
      <c r="F234" s="184">
        <v>0.30795089438008083</v>
      </c>
      <c r="G234" s="182">
        <v>663.6707138400001</v>
      </c>
      <c r="H234" s="185">
        <v>2200.0</v>
      </c>
      <c r="I234" s="184">
        <v>0.2</v>
      </c>
      <c r="J234" s="184">
        <v>0.2517583543841524</v>
      </c>
      <c r="K234" s="62"/>
      <c r="L234" s="63" t="s">
        <v>496</v>
      </c>
    </row>
    <row r="235" spans="8:8" s="105" ht="44.4" customFormat="1">
      <c r="A235" s="42" t="s">
        <v>497</v>
      </c>
      <c r="B235" s="59" t="s">
        <v>498</v>
      </c>
      <c r="C235" s="182" t="s">
        <v>499</v>
      </c>
      <c r="D235" s="183">
        <v>8230.0</v>
      </c>
      <c r="E235" s="184">
        <f>19.5/17-1</f>
        <v>0.1470588235294099</v>
      </c>
      <c r="F235" s="184">
        <f>D235/6174-1</f>
        <v>0.3330093942338801</v>
      </c>
      <c r="G235" s="182" t="s">
        <v>500</v>
      </c>
      <c r="H235" s="183">
        <v>1900.0</v>
      </c>
      <c r="I235" s="184">
        <f>475/316-1</f>
        <v>0.50316455696203</v>
      </c>
      <c r="J235" s="184">
        <f>H235/1103-1</f>
        <v>0.7225747960108799</v>
      </c>
      <c r="K235" s="62"/>
      <c r="L235" s="63" t="s">
        <v>501</v>
      </c>
    </row>
    <row r="236" spans="8:8" s="105" ht="44.4" customFormat="1">
      <c r="A236" s="42"/>
      <c r="B236" s="59" t="s">
        <v>502</v>
      </c>
      <c r="C236" s="182" t="s">
        <v>503</v>
      </c>
      <c r="D236" s="182">
        <v>4000.0</v>
      </c>
      <c r="E236" s="184">
        <f>900/1590-1</f>
        <v>-0.43396226415094297</v>
      </c>
      <c r="F236" s="184">
        <f>D236/4641-1</f>
        <v>-0.138116785175609</v>
      </c>
      <c r="G236" s="182" t="s">
        <v>504</v>
      </c>
      <c r="H236" s="183">
        <v>300.0</v>
      </c>
      <c r="I236" s="184">
        <f>80/141-1</f>
        <v>-0.43262411347517704</v>
      </c>
      <c r="J236" s="184">
        <f>H236/347-1</f>
        <v>-0.13544668587896302</v>
      </c>
      <c r="K236" s="62"/>
      <c r="L236" s="63" t="s">
        <v>505</v>
      </c>
    </row>
    <row r="237" spans="8:8" s="105" ht="44.4" customFormat="1">
      <c r="A237" s="42"/>
      <c r="B237" s="59" t="s">
        <v>506</v>
      </c>
      <c r="C237" s="182" t="s">
        <v>507</v>
      </c>
      <c r="D237" s="183">
        <v>6500.0</v>
      </c>
      <c r="E237" s="184">
        <f>1600/1925-1</f>
        <v>-0.168831168831169</v>
      </c>
      <c r="F237" s="184">
        <f>6500/6256-1</f>
        <v>0.0390025575447599</v>
      </c>
      <c r="G237" s="182" t="s">
        <v>508</v>
      </c>
      <c r="H237" s="183">
        <v>600.0</v>
      </c>
      <c r="I237" s="184">
        <f>135/154-1</f>
        <v>-0.12337662337662303</v>
      </c>
      <c r="J237" s="184">
        <f>H237/553-1</f>
        <v>0.0849909584086801</v>
      </c>
      <c r="K237" s="62"/>
      <c r="L237" s="63" t="s">
        <v>509</v>
      </c>
    </row>
    <row r="238" spans="8:8" s="105" ht="44.4" customFormat="1">
      <c r="A238" s="42"/>
      <c r="B238" s="59" t="s">
        <v>510</v>
      </c>
      <c r="C238" s="182" t="s">
        <v>511</v>
      </c>
      <c r="D238" s="182">
        <v>12000.0</v>
      </c>
      <c r="E238" s="184">
        <f>3200/2285-1</f>
        <v>0.4004376367614899</v>
      </c>
      <c r="F238" s="184">
        <f>D238/10843-1</f>
        <v>0.10670478649820003</v>
      </c>
      <c r="G238" s="182" t="s">
        <v>512</v>
      </c>
      <c r="H238" s="183">
        <v>1600.0</v>
      </c>
      <c r="I238" s="184">
        <f>400/192-1</f>
        <v>1.08333333333333</v>
      </c>
      <c r="J238" s="184">
        <f>H238/1271-1</f>
        <v>0.2588512981904001</v>
      </c>
      <c r="K238" s="62"/>
      <c r="L238" s="63" t="s">
        <v>513</v>
      </c>
    </row>
    <row r="239" spans="8:8" s="105" ht="22.2" customFormat="1">
      <c r="A239" s="42"/>
      <c r="B239" s="59" t="s">
        <v>514</v>
      </c>
      <c r="C239" s="182" t="s">
        <v>515</v>
      </c>
      <c r="D239" s="183">
        <v>3000.0</v>
      </c>
      <c r="E239" s="184">
        <f>750/778-1</f>
        <v>-0.035989717223649964</v>
      </c>
      <c r="F239" s="184">
        <f>D239/2489-1</f>
        <v>0.2053033346725599</v>
      </c>
      <c r="G239" s="182" t="s">
        <v>516</v>
      </c>
      <c r="H239" s="183">
        <v>450.0</v>
      </c>
      <c r="I239" s="184">
        <f>110/126-1</f>
        <v>-0.12698412698412698</v>
      </c>
      <c r="J239" s="184">
        <f>H239/314-1</f>
        <v>0.43312101910827994</v>
      </c>
      <c r="K239" s="62"/>
      <c r="L239" s="63" t="s">
        <v>517</v>
      </c>
    </row>
    <row r="240" spans="8:8" s="105" ht="22.2" customFormat="1">
      <c r="A240" s="42"/>
      <c r="B240" s="59" t="s">
        <v>518</v>
      </c>
      <c r="C240" s="182">
        <f>5098*1.05</f>
        <v>5352.900000000001</v>
      </c>
      <c r="D240" s="182">
        <v>23643.0</v>
      </c>
      <c r="E240" s="184">
        <v>0.05</v>
      </c>
      <c r="F240" s="184">
        <f>D240/21471-1</f>
        <v>0.10115970378649997</v>
      </c>
      <c r="G240" s="182">
        <f>152*1.08</f>
        <v>164.16000000000003</v>
      </c>
      <c r="H240" s="183">
        <v>627.0</v>
      </c>
      <c r="I240" s="184">
        <v>0.08</v>
      </c>
      <c r="J240" s="184">
        <f>H240/514-1</f>
        <v>0.21984435797665003</v>
      </c>
      <c r="K240" s="62"/>
      <c r="L240" s="63" t="s">
        <v>519</v>
      </c>
    </row>
    <row r="241" spans="8:8" s="105" ht="44.4" customFormat="1">
      <c r="A241" s="42"/>
      <c r="B241" s="59" t="s">
        <v>520</v>
      </c>
      <c r="C241" s="182" t="s">
        <v>521</v>
      </c>
      <c r="D241" s="183">
        <v>42000.0</v>
      </c>
      <c r="E241" s="184">
        <f>7600/9439-1</f>
        <v>-0.19482996080093196</v>
      </c>
      <c r="F241" s="184">
        <f>42000/38095-1</f>
        <v>0.10250689066806995</v>
      </c>
      <c r="G241" s="182" t="s">
        <v>522</v>
      </c>
      <c r="H241" s="183">
        <v>1500.0</v>
      </c>
      <c r="I241" s="184">
        <f>280/308-1</f>
        <v>-0.09090909090909105</v>
      </c>
      <c r="J241" s="184">
        <f>1500/600-1</f>
        <v>1.5</v>
      </c>
      <c r="K241" s="62"/>
      <c r="L241" s="63" t="s">
        <v>523</v>
      </c>
    </row>
    <row r="242" spans="8:8" s="105" ht="44.4" customFormat="1">
      <c r="A242" s="42"/>
      <c r="B242" s="59" t="s">
        <v>524</v>
      </c>
      <c r="C242" s="182" t="s">
        <v>525</v>
      </c>
      <c r="D242" s="182">
        <v>30000.0</v>
      </c>
      <c r="E242" s="184">
        <f>5000/6407-1</f>
        <v>-0.21960355860777303</v>
      </c>
      <c r="F242" s="184">
        <f>D242/27380-1</f>
        <v>0.09569028487947007</v>
      </c>
      <c r="G242" s="182" t="s">
        <v>522</v>
      </c>
      <c r="H242" s="183">
        <v>1500.0</v>
      </c>
      <c r="I242" s="184">
        <f>280/401-1</f>
        <v>-0.30174563591022396</v>
      </c>
      <c r="J242" s="184">
        <f>H242/712-1</f>
        <v>1.1067415730337098</v>
      </c>
      <c r="K242" s="62"/>
      <c r="L242" s="63" t="s">
        <v>526</v>
      </c>
    </row>
    <row r="243" spans="8:8" s="105" ht="44.4" customFormat="1">
      <c r="A243" s="42"/>
      <c r="B243" s="59" t="s">
        <v>527</v>
      </c>
      <c r="C243" s="182" t="s">
        <v>528</v>
      </c>
      <c r="D243" s="183">
        <v>93000.0</v>
      </c>
      <c r="E243" s="184">
        <f>15000/19065-1</f>
        <v>-0.21321793863099903</v>
      </c>
      <c r="F243" s="184">
        <f>D243/73023-1</f>
        <v>0.2735713405365401</v>
      </c>
      <c r="G243" s="182" t="s">
        <v>529</v>
      </c>
      <c r="H243" s="183">
        <v>4500.0</v>
      </c>
      <c r="I243" s="184">
        <f>800/919-1</f>
        <v>-0.12948857453754103</v>
      </c>
      <c r="J243" s="184">
        <f>H243/2774-1</f>
        <v>0.6222062004325899</v>
      </c>
      <c r="K243" s="62"/>
      <c r="L243" s="63" t="s">
        <v>530</v>
      </c>
    </row>
    <row r="244" spans="8:8" s="105" ht="44.4" customFormat="1">
      <c r="A244" s="42"/>
      <c r="B244" s="59" t="s">
        <v>531</v>
      </c>
      <c r="C244" s="182" t="s">
        <v>532</v>
      </c>
      <c r="D244" s="182">
        <v>34000.0</v>
      </c>
      <c r="E244" s="184">
        <f>5200/6884-1</f>
        <v>-0.244625217896572</v>
      </c>
      <c r="F244" s="184">
        <f>D244/29402-1</f>
        <v>0.15638391946125996</v>
      </c>
      <c r="G244" s="182" t="s">
        <v>533</v>
      </c>
      <c r="H244" s="183">
        <v>700.0</v>
      </c>
      <c r="I244" s="184">
        <f>60/85-1</f>
        <v>-0.29411764705882304</v>
      </c>
      <c r="J244" s="184">
        <f>H244/340-1</f>
        <v>1.05882352941176</v>
      </c>
      <c r="K244" s="62"/>
      <c r="L244" s="63" t="s">
        <v>534</v>
      </c>
    </row>
    <row r="245" spans="8:8" s="105" ht="22.2" customFormat="1">
      <c r="A245" s="104"/>
      <c r="B245" s="104"/>
      <c r="C245" s="104"/>
      <c r="D245" s="104"/>
      <c r="E245" s="104"/>
      <c r="F245" s="104"/>
      <c r="G245" s="104"/>
      <c r="H245" s="104"/>
      <c r="I245" s="104"/>
      <c r="J245" s="104"/>
      <c r="K245" s="104"/>
      <c r="L245" s="104"/>
    </row>
    <row r="246" spans="8:8" ht="28.2">
      <c r="A246" s="46" t="s">
        <v>87</v>
      </c>
      <c r="B246" s="47"/>
      <c r="C246" s="47"/>
      <c r="D246" s="47"/>
      <c r="E246" s="47"/>
      <c r="F246" s="47"/>
      <c r="G246" s="47"/>
      <c r="H246" s="47"/>
      <c r="I246" s="47"/>
      <c r="J246" s="47"/>
      <c r="K246" s="47"/>
      <c r="L246" s="48"/>
    </row>
    <row r="247" spans="8:8" ht="74.4" customHeight="1">
      <c r="A247" s="49" t="s">
        <v>0</v>
      </c>
      <c r="B247" s="50" t="s">
        <v>1</v>
      </c>
      <c r="C247" s="51" t="s">
        <v>88</v>
      </c>
      <c r="D247" s="52"/>
      <c r="E247" s="53" t="s">
        <v>2</v>
      </c>
      <c r="F247" s="54"/>
      <c r="G247" s="53" t="s">
        <v>89</v>
      </c>
      <c r="H247" s="54"/>
      <c r="I247" s="53" t="s">
        <v>7</v>
      </c>
      <c r="J247" s="55"/>
      <c r="K247" s="56" t="s">
        <v>90</v>
      </c>
      <c r="L247" s="57" t="s">
        <v>5</v>
      </c>
    </row>
    <row r="248" spans="8:8" ht="23.4">
      <c r="A248" s="58"/>
      <c r="B248" s="16"/>
      <c r="C248" s="17" t="s">
        <v>91</v>
      </c>
      <c r="D248" s="18">
        <v>2026.0</v>
      </c>
      <c r="E248" s="17" t="s">
        <v>91</v>
      </c>
      <c r="F248" s="18">
        <v>2026.0</v>
      </c>
      <c r="G248" s="17" t="s">
        <v>91</v>
      </c>
      <c r="H248" s="18">
        <v>2026.0</v>
      </c>
      <c r="I248" s="17" t="s">
        <v>91</v>
      </c>
      <c r="J248" s="18">
        <v>2026.0</v>
      </c>
      <c r="K248" s="20"/>
      <c r="L248" s="21"/>
    </row>
    <row r="249" spans="8:8">
      <c r="A249" s="186" t="s">
        <v>92</v>
      </c>
      <c r="B249" s="59" t="s">
        <v>93</v>
      </c>
      <c r="C249" s="187">
        <v>9.5</v>
      </c>
      <c r="D249" s="187">
        <v>39.25</v>
      </c>
      <c r="E249" s="188">
        <v>0.3</v>
      </c>
      <c r="F249" s="188">
        <v>0.345</v>
      </c>
      <c r="G249" s="187">
        <v>1.3</v>
      </c>
      <c r="H249" s="187">
        <v>6.0</v>
      </c>
      <c r="I249" s="188">
        <v>0.354</v>
      </c>
      <c r="J249" s="188">
        <v>0.7191</v>
      </c>
      <c r="K249" s="62"/>
      <c r="L249" s="189" t="s">
        <v>94</v>
      </c>
    </row>
    <row r="250" spans="8:8">
      <c r="A250" s="190"/>
      <c r="B250" s="59" t="s">
        <v>95</v>
      </c>
      <c r="C250" s="187">
        <v>50.57</v>
      </c>
      <c r="D250" s="187">
        <v>214.6</v>
      </c>
      <c r="E250" s="188">
        <v>0.2</v>
      </c>
      <c r="F250" s="188">
        <v>0.323</v>
      </c>
      <c r="G250" s="187">
        <v>8.6</v>
      </c>
      <c r="H250" s="187">
        <v>37.7</v>
      </c>
      <c r="I250" s="188">
        <v>0.103</v>
      </c>
      <c r="J250" s="188">
        <v>0.409</v>
      </c>
      <c r="K250" s="62"/>
      <c r="L250" s="189" t="s">
        <v>96</v>
      </c>
    </row>
    <row r="251" spans="8:8">
      <c r="A251" s="191"/>
      <c r="B251" s="59" t="s">
        <v>97</v>
      </c>
      <c r="C251" s="187">
        <v>16.28</v>
      </c>
      <c r="D251" s="187">
        <v>73.75</v>
      </c>
      <c r="E251" s="188">
        <v>0.03</v>
      </c>
      <c r="F251" s="188">
        <v>0.1817</v>
      </c>
      <c r="G251" s="187">
        <v>0.94</v>
      </c>
      <c r="H251" s="187">
        <v>4.5</v>
      </c>
      <c r="I251" s="188">
        <v>0.0</v>
      </c>
      <c r="J251" s="188">
        <v>0.0297</v>
      </c>
      <c r="K251" s="62"/>
      <c r="L251" s="189" t="s">
        <v>98</v>
      </c>
    </row>
    <row r="252" spans="8:8">
      <c r="A252" s="186" t="s">
        <v>99</v>
      </c>
      <c r="B252" s="135" t="s">
        <v>100</v>
      </c>
      <c r="C252" s="187">
        <v>500.0</v>
      </c>
      <c r="D252" s="187">
        <v>1924.07</v>
      </c>
      <c r="E252" s="188">
        <v>1.0435</v>
      </c>
      <c r="F252" s="188">
        <v>0.266</v>
      </c>
      <c r="G252" s="187">
        <v>35.0</v>
      </c>
      <c r="H252" s="187">
        <v>165.5</v>
      </c>
      <c r="I252" s="188">
        <v>0.9241</v>
      </c>
      <c r="J252" s="188">
        <v>1.109</v>
      </c>
      <c r="K252" s="62"/>
      <c r="L252" s="189" t="s">
        <v>101</v>
      </c>
    </row>
    <row r="253" spans="8:8">
      <c r="A253" s="191"/>
      <c r="B253" s="135" t="s">
        <v>102</v>
      </c>
      <c r="C253" s="187">
        <v>168.729</v>
      </c>
      <c r="D253" s="187">
        <v>680.03</v>
      </c>
      <c r="E253" s="188">
        <v>0.1</v>
      </c>
      <c r="F253" s="188">
        <v>0.177</v>
      </c>
      <c r="G253" s="187">
        <v>7.0</v>
      </c>
      <c r="H253" s="187">
        <v>30.79</v>
      </c>
      <c r="I253" s="188">
        <v>0.4285</v>
      </c>
      <c r="J253" s="188">
        <v>1.367</v>
      </c>
      <c r="K253" s="62"/>
      <c r="L253" s="189" t="s">
        <v>103</v>
      </c>
    </row>
    <row r="254" spans="8:8">
      <c r="A254" s="186" t="s">
        <v>104</v>
      </c>
      <c r="B254" s="135" t="s">
        <v>105</v>
      </c>
      <c r="C254" s="187">
        <v>420.0</v>
      </c>
      <c r="D254" s="187">
        <v>1708.18</v>
      </c>
      <c r="E254" s="188">
        <v>0.0483</v>
      </c>
      <c r="F254" s="188">
        <v>0.091</v>
      </c>
      <c r="G254" s="187">
        <v>4.0</v>
      </c>
      <c r="H254" s="187">
        <v>25.0</v>
      </c>
      <c r="I254" s="188">
        <v>-0.455</v>
      </c>
      <c r="J254" s="188">
        <v>10.3122</v>
      </c>
      <c r="K254" s="62"/>
      <c r="L254" s="189" t="s">
        <v>106</v>
      </c>
    </row>
    <row r="255" spans="8:8">
      <c r="A255" s="191"/>
      <c r="B255" s="135" t="s">
        <v>107</v>
      </c>
      <c r="C255" s="187">
        <v>95.89</v>
      </c>
      <c r="D255" s="187">
        <v>393.15</v>
      </c>
      <c r="E255" s="188">
        <v>0.08</v>
      </c>
      <c r="F255" s="188">
        <v>0.084</v>
      </c>
      <c r="G255" s="187">
        <v>2.0</v>
      </c>
      <c r="H255" s="187">
        <v>10.0</v>
      </c>
      <c r="I255" s="188">
        <v>1.2471</v>
      </c>
      <c r="J255" s="188">
        <v>0.3661</v>
      </c>
      <c r="K255" s="62"/>
      <c r="L255" s="189" t="s">
        <v>108</v>
      </c>
    </row>
    <row r="256" spans="8:8">
      <c r="A256" s="24" t="s">
        <v>109</v>
      </c>
      <c r="B256" s="135" t="s">
        <v>110</v>
      </c>
      <c r="C256" s="187">
        <v>774.848</v>
      </c>
      <c r="D256" s="187">
        <v>3002.75</v>
      </c>
      <c r="E256" s="188">
        <v>0.09</v>
      </c>
      <c r="F256" s="188">
        <v>0.1</v>
      </c>
      <c r="G256" s="187">
        <v>46.123</v>
      </c>
      <c r="H256" s="187">
        <v>144.44</v>
      </c>
      <c r="I256" s="188">
        <v>0.1</v>
      </c>
      <c r="J256" s="188">
        <v>0.096</v>
      </c>
      <c r="K256" s="62"/>
      <c r="L256" s="189" t="s">
        <v>111</v>
      </c>
    </row>
    <row r="257" spans="8:8">
      <c r="A257" s="186" t="s">
        <v>112</v>
      </c>
      <c r="B257" s="135" t="s">
        <v>113</v>
      </c>
      <c r="C257" s="133">
        <v>302.0</v>
      </c>
      <c r="D257" s="133">
        <v>1017.0</v>
      </c>
      <c r="E257" s="62">
        <v>0.28</v>
      </c>
      <c r="F257" s="62">
        <v>0.13</v>
      </c>
      <c r="G257" s="133">
        <v>33.3</v>
      </c>
      <c r="H257" s="133">
        <v>105.0</v>
      </c>
      <c r="I257" s="62">
        <v>0.21</v>
      </c>
      <c r="J257" s="62">
        <v>0.25</v>
      </c>
      <c r="K257" s="62"/>
      <c r="L257" s="189" t="s">
        <v>114</v>
      </c>
    </row>
    <row r="258" spans="8:8">
      <c r="A258" s="190"/>
      <c r="B258" s="135" t="s">
        <v>115</v>
      </c>
      <c r="C258" s="133">
        <v>355.0</v>
      </c>
      <c r="D258" s="135">
        <v>1144.0</v>
      </c>
      <c r="E258" s="62">
        <v>0.27</v>
      </c>
      <c r="F258" s="62">
        <v>0.13</v>
      </c>
      <c r="G258" s="133">
        <v>30.2</v>
      </c>
      <c r="H258" s="135">
        <v>76.0</v>
      </c>
      <c r="I258" s="62">
        <v>0.29</v>
      </c>
      <c r="J258" s="62">
        <v>0.22</v>
      </c>
      <c r="K258" s="62"/>
      <c r="L258" s="189" t="s">
        <v>116</v>
      </c>
    </row>
    <row r="259" spans="8:8">
      <c r="A259" s="190"/>
      <c r="B259" s="135" t="s">
        <v>117</v>
      </c>
      <c r="C259" s="133">
        <v>153.0</v>
      </c>
      <c r="D259" s="133">
        <v>604.0</v>
      </c>
      <c r="E259" s="62">
        <v>0.2</v>
      </c>
      <c r="F259" s="62">
        <v>0.16</v>
      </c>
      <c r="G259" s="133">
        <v>16.2</v>
      </c>
      <c r="H259" s="133">
        <v>61.0</v>
      </c>
      <c r="I259" s="62">
        <v>0.2</v>
      </c>
      <c r="J259" s="62">
        <v>0.25</v>
      </c>
      <c r="K259" s="62"/>
      <c r="L259" s="189" t="s">
        <v>118</v>
      </c>
    </row>
    <row r="260" spans="8:8">
      <c r="A260" s="191"/>
      <c r="B260" s="135" t="s">
        <v>119</v>
      </c>
      <c r="C260" s="133">
        <v>108.0</v>
      </c>
      <c r="D260" s="133">
        <v>379.0</v>
      </c>
      <c r="E260" s="62">
        <v>0.2</v>
      </c>
      <c r="F260" s="62">
        <v>0.14</v>
      </c>
      <c r="G260" s="133">
        <v>6.6</v>
      </c>
      <c r="H260" s="133">
        <v>20.9</v>
      </c>
      <c r="I260" s="62">
        <v>0.16</v>
      </c>
      <c r="J260" s="62">
        <v>0.3</v>
      </c>
      <c r="K260" s="62"/>
      <c r="L260" s="189" t="s">
        <v>120</v>
      </c>
    </row>
    <row r="261" spans="8:8">
      <c r="A261" s="186" t="s">
        <v>121</v>
      </c>
      <c r="B261" s="135" t="s">
        <v>122</v>
      </c>
      <c r="C261" s="133">
        <v>10.0</v>
      </c>
      <c r="D261" s="133">
        <v>43.7</v>
      </c>
      <c r="E261" s="62" t="s">
        <v>20</v>
      </c>
      <c r="F261" s="62">
        <f>D261/11.94-1</f>
        <v>2.65996649916248</v>
      </c>
      <c r="G261" s="133">
        <v>3.0</v>
      </c>
      <c r="H261" s="133">
        <v>13.1</v>
      </c>
      <c r="I261" s="62" t="s">
        <v>20</v>
      </c>
      <c r="J261" s="62">
        <f>H261/1.74-1</f>
        <v>6.52873563218391</v>
      </c>
      <c r="K261" s="62"/>
      <c r="L261" s="189" t="s">
        <v>123</v>
      </c>
    </row>
    <row r="262" spans="8:8">
      <c r="A262" s="191"/>
      <c r="B262" s="135" t="s">
        <v>124</v>
      </c>
      <c r="C262" s="133">
        <v>20.0</v>
      </c>
      <c r="D262" s="133">
        <v>90.0</v>
      </c>
      <c r="E262" s="62">
        <f>C262/11.39-1</f>
        <v>0.75592625109745</v>
      </c>
      <c r="F262" s="62">
        <f>D262/65.6-1</f>
        <v>0.3719512195121999</v>
      </c>
      <c r="G262" s="133">
        <v>3.0</v>
      </c>
      <c r="H262" s="133">
        <v>9.0</v>
      </c>
      <c r="I262" s="62">
        <f>G262/1.94-1</f>
        <v>0.5463917525773201</v>
      </c>
      <c r="J262" s="62">
        <f>H262/5.94-1</f>
        <v>0.51515151515152</v>
      </c>
      <c r="K262" s="62" t="s">
        <v>3</v>
      </c>
      <c r="L262" s="189" t="s">
        <v>125</v>
      </c>
    </row>
    <row r="263" spans="8:8">
      <c r="A263" s="186" t="s">
        <v>126</v>
      </c>
      <c r="B263" s="135" t="s">
        <v>127</v>
      </c>
      <c r="C263" s="192">
        <v>3.9</v>
      </c>
      <c r="D263" s="192">
        <v>17.0</v>
      </c>
      <c r="E263" s="62">
        <f>C263/2.97-1</f>
        <v>0.31313131313131004</v>
      </c>
      <c r="F263" s="62">
        <v>0.7</v>
      </c>
      <c r="G263" s="192">
        <v>1.0</v>
      </c>
      <c r="H263" s="192">
        <v>4.5</v>
      </c>
      <c r="I263" s="62">
        <f>G263/0.52-1</f>
        <v>0.92307692307692</v>
      </c>
      <c r="J263" s="62">
        <f>H263/1.8665-1</f>
        <v>1.4109295472810102</v>
      </c>
      <c r="K263" s="62"/>
      <c r="L263" s="189" t="s">
        <v>128</v>
      </c>
    </row>
    <row r="264" spans="8:8">
      <c r="A264" s="191"/>
      <c r="B264" s="135" t="s">
        <v>129</v>
      </c>
      <c r="C264" s="192">
        <v>6.0</v>
      </c>
      <c r="D264" s="192">
        <v>26.0</v>
      </c>
      <c r="E264" s="62">
        <f>C264/3.02-1</f>
        <v>0.98675496688742</v>
      </c>
      <c r="F264" s="62">
        <f>D264/14.57-1</f>
        <v>0.78448867536033</v>
      </c>
      <c r="G264" s="192">
        <v>2.0</v>
      </c>
      <c r="H264" s="192">
        <v>6.0</v>
      </c>
      <c r="I264" s="62" t="s">
        <v>20</v>
      </c>
      <c r="J264" s="62">
        <f>H264/1.0361-1</f>
        <v>4.79094681980504</v>
      </c>
      <c r="K264" s="62"/>
      <c r="L264" s="189" t="s">
        <v>130</v>
      </c>
    </row>
    <row r="265" spans="8:8">
      <c r="A265" s="186" t="s">
        <v>131</v>
      </c>
      <c r="B265" s="65" t="s">
        <v>132</v>
      </c>
      <c r="C265" s="192">
        <v>8.8</v>
      </c>
      <c r="D265" s="192">
        <v>37.0</v>
      </c>
      <c r="E265" s="62">
        <f>C265/7.09-1</f>
        <v>0.24118476727785998</v>
      </c>
      <c r="F265" s="62">
        <f>D265/28.93-1</f>
        <v>0.2789491876944299</v>
      </c>
      <c r="G265" s="192">
        <v>0.9</v>
      </c>
      <c r="H265" s="192">
        <v>4.2</v>
      </c>
      <c r="I265" s="62">
        <f>G265/0.69-1</f>
        <v>0.3043478260869601</v>
      </c>
      <c r="J265" s="62">
        <f>H265/3.04-1</f>
        <v>0.3815789473684199</v>
      </c>
      <c r="K265" s="62"/>
      <c r="L265" s="193" t="s">
        <v>133</v>
      </c>
    </row>
    <row r="266" spans="8:8">
      <c r="A266" s="190"/>
      <c r="B266" s="67" t="s">
        <v>134</v>
      </c>
      <c r="C266" s="192">
        <v>10.15</v>
      </c>
      <c r="D266" s="192">
        <v>38.5</v>
      </c>
      <c r="E266" s="62">
        <f>C266/9.23-1</f>
        <v>0.09967497291440996</v>
      </c>
      <c r="F266" s="62">
        <f>D266/33.68-1</f>
        <v>0.1431116389548699</v>
      </c>
      <c r="G266" s="192">
        <f>C266*0.14</f>
        <v>1.4210000000000003</v>
      </c>
      <c r="H266" s="192">
        <v>5.0</v>
      </c>
      <c r="I266" s="62">
        <f>G266/1.38-1</f>
        <v>0.029710144927540094</v>
      </c>
      <c r="J266" s="62">
        <f>H266/4.289-1</f>
        <v>0.16577290743762996</v>
      </c>
      <c r="K266" s="62"/>
      <c r="L266" s="193" t="s">
        <v>135</v>
      </c>
    </row>
    <row r="267" spans="8:8">
      <c r="A267" s="24" t="s">
        <v>136</v>
      </c>
      <c r="B267" s="65" t="s">
        <v>137</v>
      </c>
      <c r="C267" s="65">
        <v>3.0</v>
      </c>
      <c r="D267" s="65">
        <v>13.0</v>
      </c>
      <c r="E267" s="194">
        <f>C267/2.19-1</f>
        <v>0.36986301369863006</v>
      </c>
      <c r="F267" s="194">
        <f>D267/10.09-1</f>
        <v>0.28840436075322007</v>
      </c>
      <c r="G267" s="65">
        <v>0.25</v>
      </c>
      <c r="H267" s="195">
        <v>1.4</v>
      </c>
      <c r="I267" s="194">
        <f>G267/0.11-1</f>
        <v>1.2727272727272698</v>
      </c>
      <c r="J267" s="194">
        <f>H267/0.78-1</f>
        <v>0.79487179487179</v>
      </c>
      <c r="K267" s="65"/>
      <c r="L267" s="196" t="s">
        <v>138</v>
      </c>
    </row>
    <row r="268" spans="8:8">
      <c r="A268" s="186" t="s">
        <v>139</v>
      </c>
      <c r="B268" s="135" t="s">
        <v>140</v>
      </c>
      <c r="C268" s="133">
        <v>19.0</v>
      </c>
      <c r="D268" s="133">
        <v>76.0</v>
      </c>
      <c r="E268" s="62">
        <f>C268/15.8-1</f>
        <v>0.20253164556962</v>
      </c>
      <c r="F268" s="62">
        <f>D268/65.87-1</f>
        <v>0.1537877637771401</v>
      </c>
      <c r="G268" s="192">
        <f>C268*0.135</f>
        <v>2.5650000000000004</v>
      </c>
      <c r="H268" s="192">
        <v>10.5</v>
      </c>
      <c r="I268" s="62">
        <f>G268/2.32-1</f>
        <v>0.1056034482758601</v>
      </c>
      <c r="J268" s="62">
        <f>H268/8.56-1</f>
        <v>0.22663551401868998</v>
      </c>
      <c r="K268" s="62"/>
      <c r="L268" s="189"/>
    </row>
    <row r="269" spans="8:8">
      <c r="A269" s="191"/>
      <c r="B269" s="135" t="s">
        <v>141</v>
      </c>
      <c r="C269" s="133">
        <v>35.0</v>
      </c>
      <c r="D269" s="133">
        <v>139.0</v>
      </c>
      <c r="E269" s="62">
        <f>C269/27.49-1</f>
        <v>0.2731902510003601</v>
      </c>
      <c r="F269" s="62">
        <f>D269/109.4-1</f>
        <v>0.27056672760512</v>
      </c>
      <c r="G269" s="192">
        <v>9.0</v>
      </c>
      <c r="H269" s="133">
        <v>36.8</v>
      </c>
      <c r="I269" s="62">
        <f>G269/8.12-1</f>
        <v>0.10837438423644996</v>
      </c>
      <c r="J269" s="62">
        <f>H269/27.34-1</f>
        <v>0.3460131675201199</v>
      </c>
      <c r="K269" s="62"/>
      <c r="L269" s="189" t="s">
        <v>142</v>
      </c>
    </row>
    <row r="270" spans="8:8">
      <c r="A270" s="186" t="s">
        <v>143</v>
      </c>
      <c r="B270" s="135" t="s">
        <v>144</v>
      </c>
      <c r="C270" s="133">
        <v>51.0</v>
      </c>
      <c r="D270" s="133">
        <v>219.0</v>
      </c>
      <c r="E270" s="62">
        <f>C270/48-1</f>
        <v>0.0625</v>
      </c>
      <c r="F270" s="62">
        <v>0.1</v>
      </c>
      <c r="G270" s="133">
        <v>6.8</v>
      </c>
      <c r="H270" s="133">
        <v>24.5</v>
      </c>
      <c r="I270" s="62">
        <f>G270/6.8-1</f>
        <v>0.0</v>
      </c>
      <c r="J270" s="62">
        <v>0.1</v>
      </c>
      <c r="K270" s="62"/>
      <c r="L270" s="189" t="s">
        <v>145</v>
      </c>
    </row>
    <row r="271" spans="8:8">
      <c r="A271" s="191"/>
      <c r="B271" s="135" t="s">
        <v>146</v>
      </c>
      <c r="C271" s="133">
        <v>55.0</v>
      </c>
      <c r="D271" s="133">
        <v>218.0</v>
      </c>
      <c r="E271" s="62">
        <f>C271/51-1</f>
        <v>0.07843137254902</v>
      </c>
      <c r="F271" s="62">
        <f>D271/198-1</f>
        <v>0.1010101010101001</v>
      </c>
      <c r="G271" s="133">
        <v>4.85</v>
      </c>
      <c r="H271" s="133">
        <v>13.78</v>
      </c>
      <c r="I271" s="62">
        <f>G271/4.74-1</f>
        <v>0.023206751054849928</v>
      </c>
      <c r="J271" s="62">
        <f>H271/12.25-1</f>
        <v>0.12489795918367008</v>
      </c>
      <c r="K271" s="62"/>
      <c r="L271" s="189" t="s">
        <v>145</v>
      </c>
    </row>
    <row r="272" spans="8:8">
      <c r="A272" s="24" t="s">
        <v>147</v>
      </c>
      <c r="B272" s="135" t="s">
        <v>148</v>
      </c>
      <c r="C272" s="133">
        <v>27.3</v>
      </c>
      <c r="D272" s="133">
        <v>122.2</v>
      </c>
      <c r="E272" s="62">
        <v>0.15</v>
      </c>
      <c r="F272" s="62">
        <v>0.129</v>
      </c>
      <c r="G272" s="133">
        <v>3.0</v>
      </c>
      <c r="H272" s="192">
        <v>9.3</v>
      </c>
      <c r="I272" s="62">
        <v>0.25</v>
      </c>
      <c r="J272" s="62">
        <v>0.143</v>
      </c>
      <c r="K272" s="62"/>
      <c r="L272" s="189" t="s">
        <v>149</v>
      </c>
    </row>
    <row r="273" spans="8:8">
      <c r="A273" s="24" t="s">
        <v>150</v>
      </c>
      <c r="B273" s="135" t="s">
        <v>151</v>
      </c>
      <c r="C273" s="133">
        <v>3.8</v>
      </c>
      <c r="D273" s="135">
        <v>16.5</v>
      </c>
      <c r="E273" s="62">
        <v>0.45</v>
      </c>
      <c r="F273" s="62">
        <v>0.533</v>
      </c>
      <c r="G273" s="192">
        <v>0.7</v>
      </c>
      <c r="H273" s="135">
        <v>3.3</v>
      </c>
      <c r="I273" s="62">
        <v>0.45</v>
      </c>
      <c r="J273" s="62">
        <v>0.85</v>
      </c>
      <c r="K273" s="62"/>
      <c r="L273" s="189" t="s">
        <v>152</v>
      </c>
    </row>
    <row r="274" spans="8:8">
      <c r="A274" s="24" t="s">
        <v>153</v>
      </c>
      <c r="B274" s="135" t="s">
        <v>154</v>
      </c>
      <c r="C274" s="192">
        <v>7.5</v>
      </c>
      <c r="D274" s="133">
        <v>33.2</v>
      </c>
      <c r="E274" s="62">
        <v>0.3</v>
      </c>
      <c r="F274" s="62">
        <v>0.37</v>
      </c>
      <c r="G274" s="192">
        <v>1.84</v>
      </c>
      <c r="H274" s="133">
        <v>6.2</v>
      </c>
      <c r="I274" s="62">
        <v>1.0</v>
      </c>
      <c r="J274" s="62">
        <v>1.17</v>
      </c>
      <c r="K274" s="62"/>
      <c r="L274" s="189" t="s">
        <v>155</v>
      </c>
    </row>
    <row r="275" spans="8:8">
      <c r="A275" s="24" t="s">
        <v>156</v>
      </c>
      <c r="B275" s="135" t="s">
        <v>157</v>
      </c>
      <c r="C275" s="192">
        <v>2.4</v>
      </c>
      <c r="D275" s="135">
        <v>11.2</v>
      </c>
      <c r="E275" s="62">
        <v>0.35</v>
      </c>
      <c r="F275" s="62">
        <v>0.45</v>
      </c>
      <c r="G275" s="192">
        <v>0.7</v>
      </c>
      <c r="H275" s="135">
        <v>2.7</v>
      </c>
      <c r="I275" s="62">
        <v>1.0</v>
      </c>
      <c r="J275" s="62">
        <v>1.27</v>
      </c>
      <c r="K275" s="62"/>
      <c r="L275" s="189" t="s">
        <v>158</v>
      </c>
    </row>
    <row r="276" spans="8:8">
      <c r="A276" s="197"/>
      <c r="B276" s="197"/>
      <c r="C276" s="197"/>
      <c r="D276" s="197"/>
      <c r="E276" s="197"/>
      <c r="F276" s="197"/>
      <c r="G276" s="197"/>
      <c r="H276" s="197"/>
      <c r="I276" s="197"/>
      <c r="J276" s="197"/>
      <c r="K276" s="197"/>
      <c r="L276" s="197"/>
    </row>
    <row r="277" spans="8:8" ht="28.2">
      <c r="A277" s="46" t="s">
        <v>553</v>
      </c>
      <c r="B277" s="47"/>
      <c r="C277" s="47"/>
      <c r="D277" s="47"/>
      <c r="E277" s="47"/>
      <c r="F277" s="47"/>
      <c r="G277" s="47"/>
      <c r="H277" s="47"/>
      <c r="I277" s="47"/>
      <c r="J277" s="47"/>
      <c r="K277" s="47"/>
      <c r="L277" s="48"/>
    </row>
    <row r="278" spans="8:8" ht="52.8" customHeight="1">
      <c r="A278" s="49" t="s">
        <v>0</v>
      </c>
      <c r="B278" s="50" t="s">
        <v>1</v>
      </c>
      <c r="C278" s="51" t="s">
        <v>204</v>
      </c>
      <c r="D278" s="52"/>
      <c r="E278" s="53" t="s">
        <v>2</v>
      </c>
      <c r="F278" s="54"/>
      <c r="G278" s="53" t="s">
        <v>19</v>
      </c>
      <c r="H278" s="54"/>
      <c r="I278" s="53" t="s">
        <v>7</v>
      </c>
      <c r="J278" s="55"/>
      <c r="K278" s="56" t="s">
        <v>90</v>
      </c>
      <c r="L278" s="57" t="s">
        <v>5</v>
      </c>
    </row>
    <row r="279" spans="8:8" ht="23.4">
      <c r="A279" s="58"/>
      <c r="B279" s="16"/>
      <c r="C279" s="17" t="s">
        <v>91</v>
      </c>
      <c r="D279" s="18">
        <v>2026.0</v>
      </c>
      <c r="E279" s="17" t="s">
        <v>91</v>
      </c>
      <c r="F279" s="18">
        <v>2026.0</v>
      </c>
      <c r="G279" s="17" t="s">
        <v>91</v>
      </c>
      <c r="H279" s="18">
        <v>2026.0</v>
      </c>
      <c r="I279" s="17" t="s">
        <v>91</v>
      </c>
      <c r="J279" s="18">
        <v>2026.0</v>
      </c>
      <c r="K279" s="20"/>
      <c r="L279" s="21"/>
    </row>
    <row r="280" spans="8:8" ht="44.4">
      <c r="A280" s="198" t="s">
        <v>536</v>
      </c>
      <c r="B280" s="135" t="s">
        <v>537</v>
      </c>
      <c r="C280" s="133">
        <v>268.40000000000003</v>
      </c>
      <c r="D280" s="133">
        <v>1600.0</v>
      </c>
      <c r="E280" s="62">
        <v>0.1</v>
      </c>
      <c r="F280" s="62">
        <v>0.7204301075268817</v>
      </c>
      <c r="G280" s="133">
        <v>40.260000000000005</v>
      </c>
      <c r="H280" s="133">
        <v>256.0</v>
      </c>
      <c r="I280" s="62">
        <v>0.1183333333333334</v>
      </c>
      <c r="J280" s="62">
        <v>0.9393939393939394</v>
      </c>
      <c r="K280" s="62"/>
      <c r="L280" s="63" t="s">
        <v>538</v>
      </c>
    </row>
    <row r="281" spans="8:8">
      <c r="A281" s="199"/>
      <c r="B281" s="135" t="s">
        <v>539</v>
      </c>
      <c r="C281" s="133">
        <v>250.0</v>
      </c>
      <c r="D281" s="133">
        <v>1000.0</v>
      </c>
      <c r="E281" s="62">
        <v>0.6339869281045751</v>
      </c>
      <c r="F281" s="62">
        <v>0.7513134851138354</v>
      </c>
      <c r="G281" s="133">
        <v>50.0</v>
      </c>
      <c r="H281" s="133">
        <v>200.0</v>
      </c>
      <c r="I281" s="62">
        <v>0.5151515151515151</v>
      </c>
      <c r="J281" s="62">
        <v>0.6129032258064515</v>
      </c>
      <c r="K281" s="62" t="s">
        <v>3</v>
      </c>
      <c r="L281" s="63" t="s">
        <v>540</v>
      </c>
    </row>
    <row r="282" spans="8:8">
      <c r="A282" s="199"/>
      <c r="B282" s="135" t="s">
        <v>541</v>
      </c>
      <c r="C282" s="133">
        <v>9624.5373992656</v>
      </c>
      <c r="D282" s="133">
        <v>35353.38874170781</v>
      </c>
      <c r="E282" s="62">
        <v>0.12</v>
      </c>
      <c r="F282" s="62">
        <v>0.14</v>
      </c>
      <c r="G282" s="133">
        <v>1363.3720582454996</v>
      </c>
      <c r="H282" s="133">
        <v>4712.9540380359995</v>
      </c>
      <c r="I282" s="62">
        <v>0.13</v>
      </c>
      <c r="J282" s="62">
        <v>0.16</v>
      </c>
      <c r="K282" s="62"/>
      <c r="L282" s="63" t="s">
        <v>542</v>
      </c>
    </row>
    <row r="283" spans="8:8">
      <c r="A283" s="199"/>
      <c r="B283" s="135" t="s">
        <v>543</v>
      </c>
      <c r="C283" s="133">
        <v>7883.737794933</v>
      </c>
      <c r="D283" s="133">
        <v>33427.0483030551</v>
      </c>
      <c r="E283" s="62">
        <v>0.1</v>
      </c>
      <c r="F283" s="62">
        <v>0.13</v>
      </c>
      <c r="G283" s="133">
        <v>787.8172371840001</v>
      </c>
      <c r="H283" s="133">
        <v>3168.1410578076006</v>
      </c>
      <c r="I283" s="62">
        <v>0.08</v>
      </c>
      <c r="J283" s="62">
        <v>0.14</v>
      </c>
      <c r="K283" s="62"/>
      <c r="L283" s="63" t="s">
        <v>544</v>
      </c>
    </row>
    <row r="284" spans="8:8">
      <c r="A284" s="199"/>
      <c r="B284" s="135" t="s">
        <v>545</v>
      </c>
      <c r="C284" s="133">
        <v>425.03469716599994</v>
      </c>
      <c r="D284" s="133">
        <v>1745.451531264</v>
      </c>
      <c r="E284" s="62">
        <v>0.15</v>
      </c>
      <c r="F284" s="62">
        <v>0.12</v>
      </c>
      <c r="G284" s="133">
        <v>106.89496715700001</v>
      </c>
      <c r="H284" s="133">
        <v>388.2284487804</v>
      </c>
      <c r="I284" s="62">
        <v>0.1</v>
      </c>
      <c r="J284" s="62">
        <v>0.14</v>
      </c>
      <c r="K284" s="62"/>
      <c r="L284" s="63" t="s">
        <v>546</v>
      </c>
    </row>
    <row r="285" spans="8:8">
      <c r="A285" s="199"/>
      <c r="B285" s="135" t="s">
        <v>547</v>
      </c>
      <c r="C285" s="133">
        <v>6000.0</v>
      </c>
      <c r="D285" s="133">
        <v>25281.0</v>
      </c>
      <c r="E285" s="62">
        <v>-0.09</v>
      </c>
      <c r="F285" s="62">
        <v>-0.06</v>
      </c>
      <c r="G285" s="133">
        <v>360.0</v>
      </c>
      <c r="H285" s="133">
        <v>1589.0</v>
      </c>
      <c r="I285" s="62">
        <v>1.57</v>
      </c>
      <c r="J285" s="62">
        <v>2.25</v>
      </c>
      <c r="K285" s="62"/>
      <c r="L285" s="63" t="s">
        <v>548</v>
      </c>
    </row>
    <row r="286" spans="8:8" ht="44.4">
      <c r="A286" s="199"/>
      <c r="B286" s="135" t="s">
        <v>549</v>
      </c>
      <c r="C286" s="133">
        <v>4500.0</v>
      </c>
      <c r="D286" s="133">
        <v>18006.0</v>
      </c>
      <c r="E286" s="62">
        <v>0.2</v>
      </c>
      <c r="F286" s="62">
        <v>0.2</v>
      </c>
      <c r="G286" s="133">
        <v>270.0</v>
      </c>
      <c r="H286" s="133">
        <v>1140.0</v>
      </c>
      <c r="I286" s="62">
        <v>0.18</v>
      </c>
      <c r="J286" s="62">
        <v>0.2</v>
      </c>
      <c r="K286" s="62"/>
      <c r="L286" s="63" t="s">
        <v>550</v>
      </c>
    </row>
    <row r="287" spans="8:8">
      <c r="A287" s="200"/>
      <c r="B287" s="135" t="s">
        <v>551</v>
      </c>
      <c r="C287" s="133">
        <v>420.0</v>
      </c>
      <c r="D287" s="133">
        <v>2200.0</v>
      </c>
      <c r="E287" s="62">
        <v>0.0</v>
      </c>
      <c r="F287" s="62">
        <v>0.28</v>
      </c>
      <c r="G287" s="133">
        <v>50.0</v>
      </c>
      <c r="H287" s="133">
        <v>340.0</v>
      </c>
      <c r="I287" s="62">
        <v>-0.15</v>
      </c>
      <c r="J287" s="62">
        <v>0.28</v>
      </c>
      <c r="K287" s="62"/>
      <c r="L287" s="63" t="s">
        <v>552</v>
      </c>
    </row>
    <row r="288" spans="8:8">
      <c r="A288" s="197"/>
      <c r="B288" s="197"/>
      <c r="C288" s="197"/>
      <c r="D288" s="197"/>
      <c r="E288" s="197"/>
      <c r="F288" s="197"/>
      <c r="G288" s="197"/>
      <c r="H288" s="197"/>
      <c r="I288" s="197"/>
      <c r="J288" s="197"/>
      <c r="K288" s="197"/>
      <c r="L288" s="197"/>
    </row>
    <row r="289" spans="8:8" ht="28.2">
      <c r="A289" s="46" t="s">
        <v>159</v>
      </c>
      <c r="B289" s="47"/>
      <c r="C289" s="47"/>
      <c r="D289" s="47"/>
      <c r="E289" s="47"/>
      <c r="F289" s="47"/>
      <c r="G289" s="47"/>
      <c r="H289" s="47"/>
      <c r="I289" s="47"/>
      <c r="J289" s="47"/>
      <c r="K289" s="47"/>
      <c r="L289" s="48"/>
    </row>
    <row r="290" spans="8:8" ht="61.8" customHeight="1">
      <c r="A290" s="49" t="s">
        <v>0</v>
      </c>
      <c r="B290" s="50" t="s">
        <v>1</v>
      </c>
      <c r="C290" s="51" t="s">
        <v>160</v>
      </c>
      <c r="D290" s="52"/>
      <c r="E290" s="53" t="s">
        <v>2</v>
      </c>
      <c r="F290" s="54"/>
      <c r="G290" s="53" t="s">
        <v>161</v>
      </c>
      <c r="H290" s="54"/>
      <c r="I290" s="53" t="s">
        <v>8</v>
      </c>
      <c r="J290" s="55"/>
      <c r="K290" s="56" t="s">
        <v>71</v>
      </c>
      <c r="L290" s="57" t="s">
        <v>5</v>
      </c>
    </row>
    <row r="291" spans="8:8" ht="23.4">
      <c r="A291" s="58"/>
      <c r="B291" s="16"/>
      <c r="C291" s="17" t="s">
        <v>72</v>
      </c>
      <c r="D291" s="18">
        <v>2026.0</v>
      </c>
      <c r="E291" s="17" t="s">
        <v>72</v>
      </c>
      <c r="F291" s="18">
        <v>2026.0</v>
      </c>
      <c r="G291" s="17" t="s">
        <v>72</v>
      </c>
      <c r="H291" s="18">
        <v>2026.0</v>
      </c>
      <c r="I291" s="17" t="s">
        <v>72</v>
      </c>
      <c r="J291" s="18">
        <v>2026.0</v>
      </c>
      <c r="K291" s="20"/>
      <c r="L291" s="21"/>
    </row>
    <row r="292" spans="8:8">
      <c r="A292" s="201" t="s">
        <v>9</v>
      </c>
      <c r="B292" s="59" t="s">
        <v>12</v>
      </c>
      <c r="C292" s="133">
        <v>24196.9440707965</v>
      </c>
      <c r="D292" s="137">
        <v>122418.699384071</v>
      </c>
      <c r="E292" s="62">
        <v>-0.19998500044299</v>
      </c>
      <c r="F292" s="62">
        <v>0.0899827480846815</v>
      </c>
      <c r="G292" s="202" t="s">
        <v>205</v>
      </c>
      <c r="H292" s="137">
        <v>1713.97182211421</v>
      </c>
      <c r="I292" s="62">
        <v>-2.10034801758709</v>
      </c>
      <c r="J292" s="62">
        <v>0.524291977071399</v>
      </c>
      <c r="K292" s="62"/>
      <c r="L292" s="63" t="s">
        <v>179</v>
      </c>
    </row>
    <row r="293" spans="8:8">
      <c r="A293" s="201" t="s">
        <v>9</v>
      </c>
      <c r="B293" s="203" t="s">
        <v>11</v>
      </c>
      <c r="C293" s="133">
        <v>105930.0</v>
      </c>
      <c r="D293" s="137">
        <v>456142.029542528</v>
      </c>
      <c r="E293" s="62">
        <v>0.361747811092914</v>
      </c>
      <c r="F293" s="62">
        <v>0.321261539975896</v>
      </c>
      <c r="G293" s="133">
        <v>5467.0</v>
      </c>
      <c r="H293" s="137">
        <v>22660.5921195783</v>
      </c>
      <c r="I293" s="62">
        <v>0.511136442601831</v>
      </c>
      <c r="J293" s="62">
        <v>0.344664223958139</v>
      </c>
      <c r="K293" s="62"/>
      <c r="L293" s="63" t="s">
        <v>180</v>
      </c>
    </row>
    <row r="294" spans="8:8" ht="44.4">
      <c r="A294" s="201" t="s">
        <v>9</v>
      </c>
      <c r="B294" s="204" t="s">
        <v>196</v>
      </c>
      <c r="C294" s="133">
        <v>19600.0</v>
      </c>
      <c r="D294" s="137">
        <v>95500.0</v>
      </c>
      <c r="E294" s="62">
        <v>0.0725383398255648</v>
      </c>
      <c r="F294" s="62">
        <v>0.244790421740469</v>
      </c>
      <c r="G294" s="202">
        <v>-1000.0</v>
      </c>
      <c r="H294" s="137">
        <v>-1790.0</v>
      </c>
      <c r="I294" s="62">
        <v>-1.0931274254114</v>
      </c>
      <c r="J294" s="62">
        <v>-0.570919558387306</v>
      </c>
      <c r="K294" s="62"/>
      <c r="L294" s="63" t="s">
        <v>181</v>
      </c>
    </row>
    <row r="295" spans="8:8">
      <c r="A295" s="201" t="s">
        <v>9</v>
      </c>
      <c r="B295" s="204" t="s">
        <v>13</v>
      </c>
      <c r="C295" s="133">
        <v>25502.4834042553</v>
      </c>
      <c r="D295" s="137">
        <v>106452.54840353</v>
      </c>
      <c r="E295" s="62">
        <v>0.792163275070646</v>
      </c>
      <c r="F295" s="62">
        <v>0.644515519923728</v>
      </c>
      <c r="G295" s="133">
        <v>556.863743723408</v>
      </c>
      <c r="H295" s="137">
        <v>4209.53907088174</v>
      </c>
      <c r="I295" s="62">
        <v>4.4803983982713</v>
      </c>
      <c r="J295" s="62">
        <v>6.81872514985687</v>
      </c>
      <c r="K295" s="62"/>
      <c r="L295" s="63" t="s">
        <v>182</v>
      </c>
    </row>
    <row r="296" spans="8:8" ht="44.4">
      <c r="A296" s="201" t="s">
        <v>9</v>
      </c>
      <c r="B296" s="204" t="s">
        <v>10</v>
      </c>
      <c r="C296" s="133">
        <v>220490.59</v>
      </c>
      <c r="D296" s="137">
        <v>962091.493817654</v>
      </c>
      <c r="E296" s="62">
        <v>0.0974021565743666</v>
      </c>
      <c r="F296" s="62">
        <v>0.196683368154528</v>
      </c>
      <c r="G296" s="133">
        <v>8232.07</v>
      </c>
      <c r="H296" s="137">
        <v>38212.3949568141</v>
      </c>
      <c r="I296" s="62">
        <v>0.295257309047151</v>
      </c>
      <c r="J296" s="62">
        <v>0.171475801966537</v>
      </c>
      <c r="K296" s="62"/>
      <c r="L296" s="63" t="s">
        <v>183</v>
      </c>
    </row>
    <row r="297" spans="8:8">
      <c r="A297" s="201" t="s">
        <v>9</v>
      </c>
      <c r="B297" s="204" t="s">
        <v>197</v>
      </c>
      <c r="C297" s="133">
        <v>59820.0</v>
      </c>
      <c r="D297" s="137">
        <v>260883.139908687</v>
      </c>
      <c r="E297" s="62">
        <v>0.143445816136303</v>
      </c>
      <c r="F297" s="62">
        <v>0.170802340202596</v>
      </c>
      <c r="G297" s="133">
        <v>4230.0</v>
      </c>
      <c r="H297" s="137">
        <v>12853.0899664322</v>
      </c>
      <c r="I297" s="62">
        <v>-0.0775793689663588</v>
      </c>
      <c r="J297" s="62">
        <v>0.302861116834001</v>
      </c>
      <c r="K297" s="62"/>
      <c r="L297" s="63" t="s">
        <v>184</v>
      </c>
    </row>
    <row r="298" spans="8:8">
      <c r="A298" s="201" t="s">
        <v>185</v>
      </c>
      <c r="B298" s="59" t="s">
        <v>14</v>
      </c>
      <c r="C298" s="133">
        <v>3028.0</v>
      </c>
      <c r="D298" s="137">
        <v>15050.0</v>
      </c>
      <c r="E298" s="62">
        <v>0.19880491430905</v>
      </c>
      <c r="F298" s="62">
        <v>0.252696770157766</v>
      </c>
      <c r="G298" s="133">
        <v>307.0</v>
      </c>
      <c r="H298" s="137">
        <v>1520.0</v>
      </c>
      <c r="I298" s="62">
        <v>0.218363354124595</v>
      </c>
      <c r="J298" s="62">
        <v>0.160803236857383</v>
      </c>
      <c r="K298" s="62"/>
      <c r="L298" s="63" t="s">
        <v>186</v>
      </c>
    </row>
    <row r="299" spans="8:8">
      <c r="A299" s="201" t="s">
        <v>185</v>
      </c>
      <c r="B299" s="203" t="s">
        <v>198</v>
      </c>
      <c r="C299" s="133">
        <v>2130.0</v>
      </c>
      <c r="D299" s="137">
        <v>9150.0</v>
      </c>
      <c r="E299" s="62">
        <v>0.193868629434886</v>
      </c>
      <c r="F299" s="62">
        <v>0.234288796953839</v>
      </c>
      <c r="G299" s="133">
        <v>240.0</v>
      </c>
      <c r="H299" s="137">
        <v>1420.0</v>
      </c>
      <c r="I299" s="62">
        <v>-0.240083060163988</v>
      </c>
      <c r="J299" s="62">
        <v>0.212152690324559</v>
      </c>
      <c r="K299" s="62"/>
      <c r="L299" s="63" t="s">
        <v>187</v>
      </c>
    </row>
    <row r="300" spans="8:8">
      <c r="A300" s="201" t="s">
        <v>185</v>
      </c>
      <c r="B300" s="204" t="s">
        <v>199</v>
      </c>
      <c r="C300" s="133">
        <v>6750.0</v>
      </c>
      <c r="D300" s="137">
        <v>27100.0</v>
      </c>
      <c r="E300" s="62">
        <v>0.23040085875237</v>
      </c>
      <c r="F300" s="62">
        <v>0.189501168564311</v>
      </c>
      <c r="G300" s="133">
        <v>180.0</v>
      </c>
      <c r="H300" s="137">
        <v>801.0</v>
      </c>
      <c r="I300" s="62">
        <v>2.64210045226268</v>
      </c>
      <c r="J300" s="62">
        <v>0.765914661092761</v>
      </c>
      <c r="K300" s="62"/>
      <c r="L300" s="63" t="s">
        <v>188</v>
      </c>
    </row>
    <row r="301" spans="8:8">
      <c r="A301" s="201" t="s">
        <v>185</v>
      </c>
      <c r="B301" s="204" t="s">
        <v>16</v>
      </c>
      <c r="C301" s="133">
        <v>1680.0</v>
      </c>
      <c r="D301" s="137">
        <v>7370.0</v>
      </c>
      <c r="E301" s="62">
        <v>0.0619217590460488</v>
      </c>
      <c r="F301" s="62">
        <v>0.147674753726385</v>
      </c>
      <c r="G301" s="133">
        <v>240.0</v>
      </c>
      <c r="H301" s="137">
        <v>1040.0</v>
      </c>
      <c r="I301" s="62">
        <v>6.42227992680624</v>
      </c>
      <c r="J301" s="62">
        <v>0.576381590900633</v>
      </c>
      <c r="K301" s="62"/>
      <c r="L301" s="63" t="s">
        <v>189</v>
      </c>
    </row>
    <row r="302" spans="8:8">
      <c r="A302" s="201" t="s">
        <v>185</v>
      </c>
      <c r="B302" s="204" t="s">
        <v>15</v>
      </c>
      <c r="C302" s="133">
        <v>755.40970087</v>
      </c>
      <c r="D302" s="137">
        <v>3440.0</v>
      </c>
      <c r="E302" s="62">
        <v>0.1</v>
      </c>
      <c r="F302" s="62">
        <v>0.161499071355715</v>
      </c>
      <c r="G302" s="133">
        <v>130.0</v>
      </c>
      <c r="H302" s="137">
        <v>530.0</v>
      </c>
      <c r="I302" s="62">
        <v>0.217089690098031</v>
      </c>
      <c r="J302" s="62">
        <v>0.139317582458803</v>
      </c>
      <c r="K302" s="62"/>
      <c r="L302" s="63" t="s">
        <v>190</v>
      </c>
    </row>
    <row r="303" spans="8:8" ht="44.4">
      <c r="A303" s="201" t="s">
        <v>191</v>
      </c>
      <c r="B303" s="67" t="s">
        <v>200</v>
      </c>
      <c r="C303" s="133">
        <v>16500.0</v>
      </c>
      <c r="D303" s="137">
        <v>64000.0</v>
      </c>
      <c r="E303" s="62">
        <v>0.0597552671727539</v>
      </c>
      <c r="F303" s="62">
        <v>0.0449424278571893</v>
      </c>
      <c r="G303" s="133">
        <v>500.0</v>
      </c>
      <c r="H303" s="137">
        <v>2100.0</v>
      </c>
      <c r="I303" s="62">
        <v>0.465482637230894</v>
      </c>
      <c r="J303" s="62">
        <v>0.539784962260099</v>
      </c>
      <c r="K303" s="62"/>
      <c r="L303" s="66" t="s">
        <v>192</v>
      </c>
    </row>
    <row r="304" spans="8:8">
      <c r="A304" s="201" t="s">
        <v>191</v>
      </c>
      <c r="B304" s="65" t="s">
        <v>201</v>
      </c>
      <c r="C304" s="133">
        <v>19500.0</v>
      </c>
      <c r="D304" s="137">
        <v>67000.0</v>
      </c>
      <c r="E304" s="62">
        <v>0.419456965448896</v>
      </c>
      <c r="F304" s="62">
        <v>0.068955596689626</v>
      </c>
      <c r="G304" s="133">
        <v>250.0</v>
      </c>
      <c r="H304" s="137">
        <v>1000.0</v>
      </c>
      <c r="I304" s="62">
        <v>27.6022338996074</v>
      </c>
      <c r="J304" s="62">
        <v>0.380176219986091</v>
      </c>
      <c r="K304" s="62"/>
      <c r="L304" s="66" t="s">
        <v>193</v>
      </c>
    </row>
    <row r="305" spans="8:8">
      <c r="A305" s="201" t="s">
        <v>191</v>
      </c>
      <c r="B305" s="67" t="s">
        <v>202</v>
      </c>
      <c r="C305" s="133">
        <v>20500.0</v>
      </c>
      <c r="D305" s="137">
        <v>62100.0</v>
      </c>
      <c r="E305" s="62">
        <v>0.546768248576137</v>
      </c>
      <c r="F305" s="62">
        <v>0.0755630278958679</v>
      </c>
      <c r="G305" s="133">
        <v>450.0</v>
      </c>
      <c r="H305" s="137">
        <v>2200.0</v>
      </c>
      <c r="I305" s="62">
        <v>0.256038807347372</v>
      </c>
      <c r="J305" s="62">
        <v>0.320686571489766</v>
      </c>
      <c r="K305" s="62"/>
      <c r="L305" s="66" t="s">
        <v>194</v>
      </c>
    </row>
    <row r="306" spans="8:8">
      <c r="A306" s="24" t="s">
        <v>191</v>
      </c>
      <c r="B306" s="65" t="s">
        <v>203</v>
      </c>
      <c r="C306" s="133">
        <v>64000.0</v>
      </c>
      <c r="D306" s="137">
        <v>245500.0</v>
      </c>
      <c r="E306" s="62">
        <v>0.149260631500572</v>
      </c>
      <c r="F306" s="62">
        <v>0.0590602707010301</v>
      </c>
      <c r="G306" s="133">
        <v>3500.0</v>
      </c>
      <c r="H306" s="137">
        <v>14300.0</v>
      </c>
      <c r="I306" s="62">
        <v>0.193362271348396</v>
      </c>
      <c r="J306" s="62">
        <v>0.30826532883993</v>
      </c>
      <c r="K306" s="62"/>
      <c r="L306" s="66" t="s">
        <v>195</v>
      </c>
    </row>
    <row r="307" spans="8:8">
      <c r="A307" s="197"/>
      <c r="B307" s="197"/>
      <c r="C307" s="197"/>
      <c r="D307" s="197"/>
      <c r="E307" s="197"/>
      <c r="F307" s="197"/>
      <c r="G307" s="197"/>
      <c r="H307" s="197"/>
      <c r="I307" s="197"/>
      <c r="J307" s="197"/>
      <c r="K307" s="197"/>
      <c r="L307" s="197"/>
    </row>
    <row r="308" spans="8:8" ht="28.2">
      <c r="A308" s="46" t="s">
        <v>567</v>
      </c>
      <c r="B308" s="47"/>
      <c r="C308" s="47"/>
      <c r="D308" s="47"/>
      <c r="E308" s="47"/>
      <c r="F308" s="47"/>
      <c r="G308" s="47"/>
      <c r="H308" s="47"/>
      <c r="I308" s="47"/>
      <c r="J308" s="47"/>
      <c r="K308" s="47"/>
      <c r="L308" s="48"/>
    </row>
    <row r="309" spans="8:8" ht="56.4" customHeight="1">
      <c r="A309" s="49" t="s">
        <v>0</v>
      </c>
      <c r="B309" s="50" t="s">
        <v>1</v>
      </c>
      <c r="C309" s="51" t="s">
        <v>204</v>
      </c>
      <c r="D309" s="52"/>
      <c r="E309" s="53" t="s">
        <v>2</v>
      </c>
      <c r="F309" s="54"/>
      <c r="G309" s="53" t="s">
        <v>19</v>
      </c>
      <c r="H309" s="54"/>
      <c r="I309" s="53" t="s">
        <v>7</v>
      </c>
      <c r="J309" s="55"/>
      <c r="K309" s="56" t="s">
        <v>90</v>
      </c>
      <c r="L309" s="57" t="s">
        <v>5</v>
      </c>
    </row>
    <row r="310" spans="8:8" ht="23.4">
      <c r="A310" s="58"/>
      <c r="B310" s="16"/>
      <c r="C310" s="17" t="s">
        <v>91</v>
      </c>
      <c r="D310" s="18">
        <v>2026.0</v>
      </c>
      <c r="E310" s="17" t="s">
        <v>91</v>
      </c>
      <c r="F310" s="18">
        <v>2026.0</v>
      </c>
      <c r="G310" s="17" t="s">
        <v>91</v>
      </c>
      <c r="H310" s="18">
        <v>2026.0</v>
      </c>
      <c r="I310" s="17" t="s">
        <v>91</v>
      </c>
      <c r="J310" s="18">
        <v>2026.0</v>
      </c>
      <c r="K310" s="20"/>
      <c r="L310" s="21"/>
    </row>
    <row r="311" spans="8:8">
      <c r="A311" s="22" t="s">
        <v>554</v>
      </c>
      <c r="B311" s="59" t="s">
        <v>555</v>
      </c>
      <c r="C311" s="133">
        <v>2662.0242</v>
      </c>
      <c r="D311" s="137">
        <v>80441.0</v>
      </c>
      <c r="E311" s="62">
        <v>-0.5523</v>
      </c>
      <c r="F311" s="62">
        <v>0.0674</v>
      </c>
      <c r="G311" s="133">
        <v>73.838694</v>
      </c>
      <c r="H311" s="137">
        <v>3700.0</v>
      </c>
      <c r="I311" s="62">
        <v>-0.6169</v>
      </c>
      <c r="J311" s="62">
        <v>0.0873</v>
      </c>
      <c r="K311" s="62"/>
      <c r="L311" s="189"/>
    </row>
    <row r="312" spans="8:8">
      <c r="A312" s="22"/>
      <c r="B312" s="59" t="s">
        <v>556</v>
      </c>
      <c r="C312" s="133">
        <v>4694.0252</v>
      </c>
      <c r="D312" s="133">
        <v>48954.0</v>
      </c>
      <c r="E312" s="62">
        <v>0.797</v>
      </c>
      <c r="F312" s="62">
        <v>0.09630000000000001</v>
      </c>
      <c r="G312" s="133">
        <v>203.164736</v>
      </c>
      <c r="H312" s="137">
        <v>3500.0</v>
      </c>
      <c r="I312" s="62">
        <v>0.2316</v>
      </c>
      <c r="J312" s="62">
        <v>0.0632</v>
      </c>
      <c r="K312" s="62"/>
      <c r="L312" s="189"/>
    </row>
    <row r="313" spans="8:8">
      <c r="A313" s="22"/>
      <c r="B313" s="135" t="s">
        <v>557</v>
      </c>
      <c r="C313" s="133">
        <v>5810.2596</v>
      </c>
      <c r="D313" s="135">
        <v>42581.0</v>
      </c>
      <c r="E313" s="62">
        <v>-0.17</v>
      </c>
      <c r="F313" s="62">
        <v>0.0382</v>
      </c>
      <c r="G313" s="133">
        <v>209.960321</v>
      </c>
      <c r="H313" s="135">
        <v>1252.0</v>
      </c>
      <c r="I313" s="62">
        <v>-0.1473</v>
      </c>
      <c r="J313" s="62">
        <v>0.0876</v>
      </c>
      <c r="K313" s="62"/>
      <c r="L313" s="189"/>
    </row>
    <row r="314" spans="8:8">
      <c r="A314" s="22"/>
      <c r="B314" s="135" t="s">
        <v>558</v>
      </c>
      <c r="C314" s="133">
        <v>1533.4748</v>
      </c>
      <c r="D314" s="133">
        <v>10471.0</v>
      </c>
      <c r="E314" s="62">
        <v>0.7347</v>
      </c>
      <c r="F314" s="62">
        <v>0.4056</v>
      </c>
      <c r="G314" s="133">
        <v>15.475950000000003</v>
      </c>
      <c r="H314" s="133">
        <v>100.0</v>
      </c>
      <c r="I314" s="62">
        <v>1.6775</v>
      </c>
      <c r="J314" s="62">
        <v>3.0745</v>
      </c>
      <c r="K314" s="62"/>
      <c r="L314" s="189"/>
    </row>
    <row r="315" spans="8:8">
      <c r="A315" s="22" t="s">
        <v>559</v>
      </c>
      <c r="B315" s="65" t="s">
        <v>560</v>
      </c>
      <c r="C315" s="133">
        <v>9108.232</v>
      </c>
      <c r="D315" s="133">
        <v>50024.0</v>
      </c>
      <c r="E315" s="62">
        <v>0.0646</v>
      </c>
      <c r="F315" s="62">
        <v>0.0797</v>
      </c>
      <c r="G315" s="137">
        <v>32.1804</v>
      </c>
      <c r="H315" s="133">
        <v>608.0</v>
      </c>
      <c r="I315" s="62">
        <v>-0.2014</v>
      </c>
      <c r="J315" s="62">
        <v>-0.0421</v>
      </c>
      <c r="K315" s="62"/>
      <c r="L315" s="193"/>
    </row>
    <row r="316" spans="8:8">
      <c r="A316" s="22"/>
      <c r="B316" s="67" t="s">
        <v>561</v>
      </c>
      <c r="C316" s="133">
        <v>3666.4824</v>
      </c>
      <c r="D316" s="133">
        <v>11476.0</v>
      </c>
      <c r="E316" s="62">
        <v>0.148</v>
      </c>
      <c r="F316" s="62">
        <v>0.1346</v>
      </c>
      <c r="G316" s="133">
        <v>112.6314</v>
      </c>
      <c r="H316" s="133">
        <v>745.0</v>
      </c>
      <c r="I316" s="62">
        <v>-0.6593</v>
      </c>
      <c r="J316" s="62">
        <v>0.2229</v>
      </c>
      <c r="K316" s="62"/>
      <c r="L316" s="193"/>
    </row>
    <row r="317" spans="8:8">
      <c r="A317" s="22" t="s">
        <v>562</v>
      </c>
      <c r="B317" s="65" t="s">
        <v>563</v>
      </c>
      <c r="C317" s="133">
        <v>7135.92</v>
      </c>
      <c r="D317" s="133">
        <v>2917.0</v>
      </c>
      <c r="E317" s="62">
        <v>-0.089</v>
      </c>
      <c r="F317" s="62">
        <v>0.2224</v>
      </c>
      <c r="G317" s="137">
        <v>55.166399999999996</v>
      </c>
      <c r="H317" s="133">
        <v>623.0</v>
      </c>
      <c r="I317" s="62">
        <v>-0.9851</v>
      </c>
      <c r="J317" s="62">
        <v>0.2278</v>
      </c>
      <c r="K317" s="62"/>
      <c r="L317" s="193"/>
    </row>
    <row r="318" spans="8:8">
      <c r="A318" s="22"/>
      <c r="B318" s="67" t="s">
        <v>564</v>
      </c>
      <c r="C318" s="133">
        <v>1383.0214</v>
      </c>
      <c r="D318" s="133">
        <v>5976.0</v>
      </c>
      <c r="E318" s="62">
        <v>-0.0786</v>
      </c>
      <c r="F318" s="62">
        <v>0.0384</v>
      </c>
      <c r="G318" s="133">
        <v>96.9243</v>
      </c>
      <c r="H318" s="133">
        <v>1116.0</v>
      </c>
      <c r="I318" s="62">
        <v>-0.7281</v>
      </c>
      <c r="J318" s="62">
        <v>0.0883</v>
      </c>
      <c r="K318" s="62"/>
      <c r="L318" s="193"/>
    </row>
    <row r="319" spans="8:8">
      <c r="A319" s="22"/>
      <c r="B319" s="65" t="s">
        <v>565</v>
      </c>
      <c r="C319" s="133">
        <v>1896.5828000000001</v>
      </c>
      <c r="D319" s="133">
        <v>4050.0</v>
      </c>
      <c r="E319" s="62">
        <v>0.3966</v>
      </c>
      <c r="F319" s="62">
        <v>0.2061</v>
      </c>
      <c r="G319" s="133">
        <v>104.9694</v>
      </c>
      <c r="H319" s="133">
        <v>775.0</v>
      </c>
      <c r="I319" s="62">
        <v>0.0249</v>
      </c>
      <c r="J319" s="62">
        <v>0.2327</v>
      </c>
      <c r="K319" s="62"/>
      <c r="L319" s="193"/>
    </row>
    <row r="320" spans="8:8">
      <c r="A320" s="22"/>
      <c r="B320" s="67" t="s">
        <v>566</v>
      </c>
      <c r="C320" s="133">
        <v>1617.2221</v>
      </c>
      <c r="D320" s="135">
        <v>6831.0</v>
      </c>
      <c r="E320" s="62">
        <v>0.1009</v>
      </c>
      <c r="F320" s="62">
        <v>0.17370000000000002</v>
      </c>
      <c r="G320" s="133">
        <v>15.324</v>
      </c>
      <c r="H320" s="135">
        <v>386.0</v>
      </c>
      <c r="I320" s="62">
        <v>0.1218</v>
      </c>
      <c r="J320" s="62">
        <v>1.1125</v>
      </c>
      <c r="K320" s="62"/>
      <c r="L320" s="193"/>
    </row>
    <row r="321" spans="8:8">
      <c r="A321" s="205"/>
      <c r="B321" s="205"/>
      <c r="C321" s="205"/>
      <c r="D321" s="205"/>
      <c r="E321" s="205"/>
      <c r="F321" s="205"/>
      <c r="G321" s="205"/>
      <c r="H321" s="205"/>
      <c r="I321" s="205"/>
      <c r="J321" s="205"/>
      <c r="K321" s="205"/>
      <c r="L321" s="205"/>
    </row>
    <row r="322" spans="8:8" ht="28.2">
      <c r="A322" s="206" t="s">
        <v>1044</v>
      </c>
      <c r="B322" s="207"/>
      <c r="C322" s="207"/>
      <c r="D322" s="207"/>
      <c r="E322" s="207"/>
      <c r="F322" s="207"/>
      <c r="G322" s="207"/>
      <c r="H322" s="207"/>
      <c r="I322" s="207"/>
      <c r="J322" s="207"/>
      <c r="K322" s="207"/>
      <c r="L322" s="208"/>
    </row>
    <row r="323" spans="8:8" ht="59.4" customHeight="1">
      <c r="A323" s="49" t="s">
        <v>0</v>
      </c>
      <c r="B323" s="50" t="s">
        <v>1</v>
      </c>
      <c r="C323" s="51" t="s">
        <v>204</v>
      </c>
      <c r="D323" s="52"/>
      <c r="E323" s="53" t="s">
        <v>2</v>
      </c>
      <c r="F323" s="54"/>
      <c r="G323" s="53" t="s">
        <v>19</v>
      </c>
      <c r="H323" s="54"/>
      <c r="I323" s="53" t="s">
        <v>7</v>
      </c>
      <c r="J323" s="55"/>
      <c r="K323" s="56" t="s">
        <v>90</v>
      </c>
      <c r="L323" s="57" t="s">
        <v>5</v>
      </c>
    </row>
    <row r="324" spans="8:8" ht="23.4">
      <c r="A324" s="58"/>
      <c r="B324" s="16"/>
      <c r="C324" s="17" t="s">
        <v>91</v>
      </c>
      <c r="D324" s="18">
        <v>2026.0</v>
      </c>
      <c r="E324" s="17" t="s">
        <v>91</v>
      </c>
      <c r="F324" s="18">
        <v>2026.0</v>
      </c>
      <c r="G324" s="17" t="s">
        <v>91</v>
      </c>
      <c r="H324" s="18">
        <v>2026.0</v>
      </c>
      <c r="I324" s="17" t="s">
        <v>91</v>
      </c>
      <c r="J324" s="18">
        <v>2026.0</v>
      </c>
      <c r="K324" s="20"/>
      <c r="L324" s="21"/>
    </row>
    <row r="325" spans="8:8">
      <c r="A325" s="198" t="s">
        <v>998</v>
      </c>
      <c r="B325" s="65" t="s">
        <v>999</v>
      </c>
      <c r="C325" s="133">
        <v>8577.0</v>
      </c>
      <c r="D325" s="137">
        <v>35541.0</v>
      </c>
      <c r="E325" s="62">
        <v>0.46</v>
      </c>
      <c r="F325" s="62">
        <v>0.49</v>
      </c>
      <c r="G325" s="133">
        <v>2350.0</v>
      </c>
      <c r="H325" s="137">
        <v>12396.0</v>
      </c>
      <c r="I325" s="62">
        <v>1.02</v>
      </c>
      <c r="J325" s="62">
        <v>2.07</v>
      </c>
      <c r="K325" s="62"/>
      <c r="L325" s="63" t="s">
        <v>1000</v>
      </c>
    </row>
    <row r="326" spans="8:8">
      <c r="A326" s="199"/>
      <c r="B326" s="67" t="s">
        <v>1001</v>
      </c>
      <c r="C326" s="133">
        <v>52500.0</v>
      </c>
      <c r="D326" s="133">
        <v>225344.0</v>
      </c>
      <c r="E326" s="62">
        <v>0.03</v>
      </c>
      <c r="F326" s="62">
        <v>0.03</v>
      </c>
      <c r="G326" s="133">
        <v>6620.0</v>
      </c>
      <c r="H326" s="137">
        <v>24033.0</v>
      </c>
      <c r="I326" s="62">
        <v>0.13</v>
      </c>
      <c r="J326" s="62">
        <v>-0.22</v>
      </c>
      <c r="K326" s="62"/>
      <c r="L326" s="63" t="s">
        <v>1002</v>
      </c>
    </row>
    <row r="327" spans="8:8">
      <c r="A327" s="200"/>
      <c r="B327" s="65" t="s">
        <v>1003</v>
      </c>
      <c r="C327" s="133">
        <v>2790.0</v>
      </c>
      <c r="D327" s="135">
        <v>11203.0</v>
      </c>
      <c r="E327" s="62">
        <v>0.01</v>
      </c>
      <c r="F327" s="62">
        <v>0.06</v>
      </c>
      <c r="G327" s="133">
        <v>430.0</v>
      </c>
      <c r="H327" s="135">
        <v>2086.0</v>
      </c>
      <c r="I327" s="62">
        <v>-0.19</v>
      </c>
      <c r="J327" s="62">
        <v>0.04</v>
      </c>
      <c r="K327" s="62"/>
      <c r="L327" s="63" t="s">
        <v>1004</v>
      </c>
    </row>
    <row r="328" spans="8:8" ht="44.4">
      <c r="A328" s="198" t="s">
        <v>1005</v>
      </c>
      <c r="B328" s="67" t="s">
        <v>1006</v>
      </c>
      <c r="C328" s="133">
        <v>80760.0</v>
      </c>
      <c r="D328" s="133">
        <v>336322.0</v>
      </c>
      <c r="E328" s="62">
        <v>0.05</v>
      </c>
      <c r="F328" s="62">
        <v>0.09</v>
      </c>
      <c r="G328" s="133">
        <v>2940.0</v>
      </c>
      <c r="H328" s="133">
        <v>12196.0</v>
      </c>
      <c r="I328" s="62">
        <v>-0.16</v>
      </c>
      <c r="J328" s="62">
        <v>0.1</v>
      </c>
      <c r="K328" s="62"/>
      <c r="L328" s="63" t="s">
        <v>1007</v>
      </c>
    </row>
    <row r="329" spans="8:8">
      <c r="A329" s="200"/>
      <c r="B329" s="65" t="s">
        <v>1008</v>
      </c>
      <c r="C329" s="133">
        <v>14120.0</v>
      </c>
      <c r="D329" s="133">
        <v>55654.0</v>
      </c>
      <c r="E329" s="62">
        <v>0.19</v>
      </c>
      <c r="F329" s="62">
        <v>0.13</v>
      </c>
      <c r="G329" s="133">
        <v>2640.0</v>
      </c>
      <c r="H329" s="133">
        <v>10640.0</v>
      </c>
      <c r="I329" s="62">
        <v>0.36</v>
      </c>
      <c r="J329" s="62">
        <v>0.17</v>
      </c>
      <c r="K329" s="62" t="s">
        <v>3</v>
      </c>
      <c r="L329" s="63" t="s">
        <v>1009</v>
      </c>
    </row>
    <row r="330" spans="8:8" ht="44.4">
      <c r="A330" s="198" t="s">
        <v>1010</v>
      </c>
      <c r="B330" s="67" t="s">
        <v>1011</v>
      </c>
      <c r="C330" s="133">
        <v>48940.0</v>
      </c>
      <c r="D330" s="133">
        <v>199622.0</v>
      </c>
      <c r="E330" s="62">
        <v>0.05</v>
      </c>
      <c r="F330" s="62">
        <v>0.1</v>
      </c>
      <c r="G330" s="204">
        <v>-3910.0</v>
      </c>
      <c r="H330" s="133">
        <v>1781.0</v>
      </c>
      <c r="I330" s="62" t="s">
        <v>1012</v>
      </c>
      <c r="J330" s="62">
        <v>1.08</v>
      </c>
      <c r="K330" s="62"/>
      <c r="L330" s="63" t="s">
        <v>1013</v>
      </c>
    </row>
    <row r="331" spans="8:8" ht="44.4">
      <c r="A331" s="199"/>
      <c r="B331" s="65" t="s">
        <v>1014</v>
      </c>
      <c r="C331" s="133">
        <v>46720.0</v>
      </c>
      <c r="D331" s="133">
        <v>192271.0</v>
      </c>
      <c r="E331" s="62">
        <v>0.1</v>
      </c>
      <c r="F331" s="62">
        <v>0.12</v>
      </c>
      <c r="G331" s="204">
        <v>-3310.0</v>
      </c>
      <c r="H331" s="133">
        <v>517.0</v>
      </c>
      <c r="I331" s="62" t="s">
        <v>1012</v>
      </c>
      <c r="J331" s="62">
        <v>1.29</v>
      </c>
      <c r="K331" s="62"/>
      <c r="L331" s="63" t="s">
        <v>1015</v>
      </c>
    </row>
    <row r="332" spans="8:8" ht="44.4">
      <c r="A332" s="199"/>
      <c r="B332" s="67" t="s">
        <v>1016</v>
      </c>
      <c r="C332" s="133">
        <v>6470.0</v>
      </c>
      <c r="D332" s="133">
        <v>25310.0</v>
      </c>
      <c r="E332" s="62">
        <v>0.3</v>
      </c>
      <c r="F332" s="62">
        <v>0.18</v>
      </c>
      <c r="G332" s="204">
        <v>30.0</v>
      </c>
      <c r="H332" s="133">
        <v>2107.0</v>
      </c>
      <c r="I332" s="62">
        <v>-0.94</v>
      </c>
      <c r="J332" s="62">
        <v>-0.1</v>
      </c>
      <c r="K332" s="62"/>
      <c r="L332" s="63" t="s">
        <v>1017</v>
      </c>
    </row>
    <row r="333" spans="8:8" ht="44.4">
      <c r="A333" s="200"/>
      <c r="B333" s="65" t="s">
        <v>1018</v>
      </c>
      <c r="C333" s="133">
        <v>6100.0</v>
      </c>
      <c r="D333" s="135">
        <v>25151.0</v>
      </c>
      <c r="E333" s="62">
        <v>0.14</v>
      </c>
      <c r="F333" s="62">
        <v>0.12</v>
      </c>
      <c r="G333" s="204">
        <v>-430.0</v>
      </c>
      <c r="H333" s="135">
        <v>954.0</v>
      </c>
      <c r="I333" s="62" t="s">
        <v>1012</v>
      </c>
      <c r="J333" s="62">
        <v>-0.08</v>
      </c>
      <c r="K333" s="62"/>
      <c r="L333" s="63" t="s">
        <v>1019</v>
      </c>
    </row>
    <row r="334" spans="8:8">
      <c r="A334" s="198" t="s">
        <v>1020</v>
      </c>
      <c r="B334" s="67" t="s">
        <v>1021</v>
      </c>
      <c r="C334" s="133">
        <v>3230.0</v>
      </c>
      <c r="D334" s="133">
        <v>14422.0</v>
      </c>
      <c r="E334" s="62">
        <v>0.01537056595623909</v>
      </c>
      <c r="F334" s="62">
        <v>0.08</v>
      </c>
      <c r="G334" s="133">
        <v>600.0</v>
      </c>
      <c r="H334" s="133">
        <v>2586.0</v>
      </c>
      <c r="I334" s="62">
        <v>0.14248561478287347</v>
      </c>
      <c r="J334" s="62">
        <v>0.22</v>
      </c>
      <c r="K334" s="62"/>
      <c r="L334" s="63" t="s">
        <v>1022</v>
      </c>
    </row>
    <row r="335" spans="8:8">
      <c r="A335" s="200"/>
      <c r="B335" s="65" t="s">
        <v>1023</v>
      </c>
      <c r="C335" s="133">
        <v>2050.0</v>
      </c>
      <c r="D335" s="133">
        <v>7781.0</v>
      </c>
      <c r="E335" s="62">
        <v>0.07637418890256109</v>
      </c>
      <c r="F335" s="62">
        <v>-0.02</v>
      </c>
      <c r="G335" s="133">
        <v>210.0</v>
      </c>
      <c r="H335" s="133">
        <v>794.0</v>
      </c>
      <c r="I335" s="62">
        <v>-0.5376387382041428</v>
      </c>
      <c r="J335" s="62">
        <v>-0.46</v>
      </c>
      <c r="K335" s="62"/>
      <c r="L335" s="63" t="s">
        <v>1024</v>
      </c>
    </row>
    <row r="336" spans="8:8" ht="44.4">
      <c r="A336" s="198" t="s">
        <v>1025</v>
      </c>
      <c r="B336" s="67" t="s">
        <v>1026</v>
      </c>
      <c r="C336" s="133">
        <v>2140.0</v>
      </c>
      <c r="D336" s="133">
        <v>9648.0</v>
      </c>
      <c r="E336" s="62">
        <v>0.19602948011174393</v>
      </c>
      <c r="F336" s="62">
        <v>0.15</v>
      </c>
      <c r="G336" s="133">
        <v>380.0</v>
      </c>
      <c r="H336" s="133">
        <v>1402.0</v>
      </c>
      <c r="I336" s="62">
        <v>0.2708576716122115</v>
      </c>
      <c r="J336" s="62">
        <v>0.23</v>
      </c>
      <c r="K336" s="62"/>
      <c r="L336" s="63" t="s">
        <v>1027</v>
      </c>
    </row>
    <row r="337" spans="8:8" ht="44.4">
      <c r="A337" s="200"/>
      <c r="B337" s="65" t="s">
        <v>1028</v>
      </c>
      <c r="C337" s="133">
        <v>8320.0</v>
      </c>
      <c r="D337" s="133">
        <v>27769.0</v>
      </c>
      <c r="E337" s="62">
        <v>0.4419999999999997</v>
      </c>
      <c r="F337" s="62">
        <v>0.14</v>
      </c>
      <c r="G337" s="133">
        <v>760.0</v>
      </c>
      <c r="H337" s="133">
        <v>2770.0</v>
      </c>
      <c r="I337" s="62">
        <v>0.022276031111654326</v>
      </c>
      <c r="J337" s="62">
        <v>0.03</v>
      </c>
      <c r="K337" s="62"/>
      <c r="L337" s="63" t="s">
        <v>1029</v>
      </c>
    </row>
    <row r="338" spans="8:8" ht="44.4">
      <c r="A338" s="198" t="s">
        <v>1030</v>
      </c>
      <c r="B338" s="67" t="s">
        <v>1031</v>
      </c>
      <c r="C338" s="133">
        <v>24160.0</v>
      </c>
      <c r="D338" s="135">
        <v>107013.0</v>
      </c>
      <c r="E338" s="62">
        <v>-0.09699999999999998</v>
      </c>
      <c r="F338" s="62">
        <v>0.11</v>
      </c>
      <c r="G338" s="133">
        <v>1340.0</v>
      </c>
      <c r="H338" s="135">
        <v>3610.0</v>
      </c>
      <c r="I338" s="62">
        <v>0.03200000000000003</v>
      </c>
      <c r="J338" s="62">
        <v>-0.1</v>
      </c>
      <c r="K338" s="62"/>
      <c r="L338" s="63" t="s">
        <v>1032</v>
      </c>
    </row>
    <row r="339" spans="8:8">
      <c r="A339" s="199"/>
      <c r="B339" s="65" t="s">
        <v>1033</v>
      </c>
      <c r="C339" s="133">
        <v>1750.0</v>
      </c>
      <c r="D339" s="133">
        <v>6675.0</v>
      </c>
      <c r="E339" s="62">
        <v>0.9027737004055625</v>
      </c>
      <c r="F339" s="62">
        <v>-0.01</v>
      </c>
      <c r="G339" s="137">
        <v>392.0</v>
      </c>
      <c r="H339" s="133">
        <v>2079.0</v>
      </c>
      <c r="I339" s="62">
        <v>0.11936036550542561</v>
      </c>
      <c r="J339" s="62">
        <v>0.11</v>
      </c>
      <c r="K339" s="62"/>
      <c r="L339" s="66" t="s">
        <v>1034</v>
      </c>
    </row>
    <row r="340" spans="8:8" ht="44.4">
      <c r="A340" s="199"/>
      <c r="B340" s="67" t="s">
        <v>1035</v>
      </c>
      <c r="C340" s="133">
        <v>4730.0</v>
      </c>
      <c r="D340" s="133">
        <v>20366.0</v>
      </c>
      <c r="E340" s="62">
        <v>0.022879633233856556</v>
      </c>
      <c r="F340" s="62">
        <v>0.0</v>
      </c>
      <c r="G340" s="133">
        <v>1470.0</v>
      </c>
      <c r="H340" s="133">
        <v>4928.0</v>
      </c>
      <c r="I340" s="62">
        <v>-0.021063777361933433</v>
      </c>
      <c r="J340" s="62">
        <v>0.07</v>
      </c>
      <c r="K340" s="62"/>
      <c r="L340" s="66" t="s">
        <v>1036</v>
      </c>
    </row>
    <row r="341" spans="8:8" ht="44.4">
      <c r="A341" s="200"/>
      <c r="B341" s="65" t="s">
        <v>1037</v>
      </c>
      <c r="C341" s="133">
        <v>3620.0</v>
      </c>
      <c r="D341" s="133">
        <v>14135.0</v>
      </c>
      <c r="E341" s="62">
        <v>0.265520885271048</v>
      </c>
      <c r="F341" s="62">
        <v>0.06</v>
      </c>
      <c r="G341" s="133">
        <v>1190.0</v>
      </c>
      <c r="H341" s="133">
        <v>5016.0</v>
      </c>
      <c r="I341" s="62">
        <v>0.013038273627355323</v>
      </c>
      <c r="J341" s="62">
        <v>0.09</v>
      </c>
      <c r="K341" s="62"/>
      <c r="L341" s="66" t="s">
        <v>1038</v>
      </c>
    </row>
    <row r="342" spans="8:8" ht="44.4">
      <c r="A342" s="198" t="s">
        <v>1039</v>
      </c>
      <c r="B342" s="67" t="s">
        <v>1040</v>
      </c>
      <c r="C342" s="133">
        <v>11330.0</v>
      </c>
      <c r="D342" s="135">
        <v>45019.0</v>
      </c>
      <c r="E342" s="62">
        <v>0.050000000000000044</v>
      </c>
      <c r="F342" s="62">
        <v>0.05</v>
      </c>
      <c r="G342" s="133">
        <v>3620.0</v>
      </c>
      <c r="H342" s="135">
        <v>14022.0</v>
      </c>
      <c r="I342" s="62">
        <v>0.08000000000000007</v>
      </c>
      <c r="J342" s="62">
        <v>0.06</v>
      </c>
      <c r="K342" s="62"/>
      <c r="L342" s="66" t="s">
        <v>1041</v>
      </c>
    </row>
    <row r="343" spans="8:8" ht="44.4">
      <c r="A343" s="200"/>
      <c r="B343" s="65" t="s">
        <v>1042</v>
      </c>
      <c r="C343" s="133">
        <v>21420.0</v>
      </c>
      <c r="D343" s="133">
        <v>81469.0</v>
      </c>
      <c r="E343" s="62">
        <v>0.1</v>
      </c>
      <c r="F343" s="62">
        <v>0.05</v>
      </c>
      <c r="G343" s="137">
        <v>2550.0</v>
      </c>
      <c r="H343" s="133">
        <v>7709.0</v>
      </c>
      <c r="I343" s="62">
        <v>0.65</v>
      </c>
      <c r="J343" s="62">
        <v>0.31</v>
      </c>
      <c r="K343" s="62" t="s">
        <v>3</v>
      </c>
      <c r="L343" s="66" t="s">
        <v>1043</v>
      </c>
    </row>
    <row r="344" spans="8:8">
      <c r="A344" s="127" t="s">
        <v>1092</v>
      </c>
      <c r="B344" s="67" t="s">
        <v>1086</v>
      </c>
      <c r="C344" s="133">
        <v>1540.0</v>
      </c>
      <c r="D344" s="133">
        <v>5929.0</v>
      </c>
      <c r="E344" s="62">
        <v>0.14</v>
      </c>
      <c r="F344" s="62">
        <v>0.04</v>
      </c>
      <c r="G344" s="133">
        <v>520.0</v>
      </c>
      <c r="H344" s="133">
        <v>2079.0</v>
      </c>
      <c r="I344" s="62">
        <v>0.03</v>
      </c>
      <c r="J344" s="62">
        <v>0.04</v>
      </c>
      <c r="K344" s="62"/>
      <c r="L344" s="193" t="s">
        <v>1087</v>
      </c>
    </row>
    <row r="345" spans="8:8">
      <c r="A345" s="198" t="s">
        <v>1093</v>
      </c>
      <c r="B345" s="65" t="s">
        <v>1088</v>
      </c>
      <c r="C345" s="133">
        <v>330.0</v>
      </c>
      <c r="D345" s="133">
        <v>1478.0</v>
      </c>
      <c r="E345" s="62">
        <v>0.23</v>
      </c>
      <c r="F345" s="62">
        <v>0.24</v>
      </c>
      <c r="G345" s="133">
        <v>10.0</v>
      </c>
      <c r="H345" s="133">
        <v>149.0</v>
      </c>
      <c r="I345" s="62">
        <v>-1.3</v>
      </c>
      <c r="J345" s="62">
        <v>1.35</v>
      </c>
      <c r="K345" s="62"/>
      <c r="L345" s="193" t="s">
        <v>1089</v>
      </c>
    </row>
    <row r="346" spans="8:8" ht="44.4">
      <c r="A346" s="200"/>
      <c r="B346" s="67" t="s">
        <v>1090</v>
      </c>
      <c r="C346" s="133">
        <v>4030.0</v>
      </c>
      <c r="D346" s="135">
        <v>15223.0</v>
      </c>
      <c r="E346" s="62">
        <v>0.09</v>
      </c>
      <c r="F346" s="62">
        <v>0.14</v>
      </c>
      <c r="G346" s="133">
        <v>180.0</v>
      </c>
      <c r="H346" s="135">
        <v>748.0</v>
      </c>
      <c r="I346" s="62">
        <v>0.0</v>
      </c>
      <c r="J346" s="62">
        <v>0.19</v>
      </c>
      <c r="K346" s="62"/>
      <c r="L346" s="66" t="s">
        <v>1091</v>
      </c>
    </row>
    <row r="347" spans="8:8">
      <c r="A347" s="104"/>
      <c r="B347" s="104"/>
      <c r="C347" s="104"/>
      <c r="D347" s="104"/>
      <c r="E347" s="104"/>
      <c r="F347" s="104"/>
      <c r="G347" s="104"/>
      <c r="H347" s="104"/>
      <c r="I347" s="104"/>
      <c r="J347" s="104"/>
      <c r="K347" s="104"/>
      <c r="L347" s="104"/>
    </row>
    <row r="348" spans="8:8" ht="20.4" customHeight="1">
      <c r="A348" s="46" t="s">
        <v>68</v>
      </c>
      <c r="B348" s="47"/>
      <c r="C348" s="47"/>
      <c r="D348" s="47"/>
      <c r="E348" s="47"/>
      <c r="F348" s="47"/>
      <c r="G348" s="47"/>
      <c r="H348" s="47"/>
      <c r="I348" s="47"/>
      <c r="J348" s="47"/>
      <c r="K348" s="47"/>
      <c r="L348" s="48"/>
    </row>
    <row r="349" spans="8:8" ht="73.2" customHeight="1">
      <c r="A349" s="49" t="s">
        <v>0</v>
      </c>
      <c r="B349" s="50" t="s">
        <v>1</v>
      </c>
      <c r="C349" s="51" t="s">
        <v>204</v>
      </c>
      <c r="D349" s="52"/>
      <c r="E349" s="53" t="s">
        <v>2</v>
      </c>
      <c r="F349" s="54"/>
      <c r="G349" s="53" t="s">
        <v>19</v>
      </c>
      <c r="H349" s="54"/>
      <c r="I349" s="53" t="s">
        <v>7</v>
      </c>
      <c r="J349" s="55"/>
      <c r="K349" s="56" t="s">
        <v>90</v>
      </c>
      <c r="L349" s="57" t="s">
        <v>5</v>
      </c>
    </row>
    <row r="350" spans="8:8" ht="20.4" customHeight="1">
      <c r="A350" s="58"/>
      <c r="B350" s="16"/>
      <c r="C350" s="17" t="s">
        <v>91</v>
      </c>
      <c r="D350" s="18">
        <v>2026.0</v>
      </c>
      <c r="E350" s="17" t="s">
        <v>91</v>
      </c>
      <c r="F350" s="18">
        <v>2026.0</v>
      </c>
      <c r="G350" s="17" t="s">
        <v>91</v>
      </c>
      <c r="H350" s="18">
        <v>2026.0</v>
      </c>
      <c r="I350" s="17" t="s">
        <v>91</v>
      </c>
      <c r="J350" s="18">
        <v>2026.0</v>
      </c>
      <c r="K350" s="20"/>
      <c r="L350" s="21"/>
    </row>
    <row r="351" spans="8:8">
      <c r="A351" s="24" t="s">
        <v>62</v>
      </c>
      <c r="B351" s="59" t="s">
        <v>162</v>
      </c>
      <c r="C351" s="133">
        <v>5000.0</v>
      </c>
      <c r="D351" s="133">
        <v>20300.0</v>
      </c>
      <c r="E351" s="62">
        <v>0.13</v>
      </c>
      <c r="F351" s="62">
        <v>0.17</v>
      </c>
      <c r="G351" s="133">
        <v>700.0</v>
      </c>
      <c r="H351" s="137">
        <v>2600.0</v>
      </c>
      <c r="I351" s="62">
        <v>0.7580872011251758</v>
      </c>
      <c r="J351" s="62">
        <v>0.9864563406693168</v>
      </c>
      <c r="K351" s="209"/>
      <c r="L351" s="35"/>
    </row>
    <row r="352" spans="8:8">
      <c r="A352" s="186" t="s">
        <v>63</v>
      </c>
      <c r="B352" s="59" t="s">
        <v>163</v>
      </c>
      <c r="C352" s="133">
        <v>5600.0</v>
      </c>
      <c r="D352" s="133">
        <v>24000.0</v>
      </c>
      <c r="E352" s="62">
        <v>0.21</v>
      </c>
      <c r="F352" s="62">
        <v>0.27</v>
      </c>
      <c r="G352" s="133">
        <v>1760.0</v>
      </c>
      <c r="H352" s="137">
        <v>8500.0</v>
      </c>
      <c r="I352" s="62">
        <v>0.8397890017904508</v>
      </c>
      <c r="J352" s="62">
        <v>1.58715594300828</v>
      </c>
      <c r="K352" s="209"/>
      <c r="L352" s="35"/>
    </row>
    <row r="353" spans="8:8">
      <c r="A353" s="190"/>
      <c r="B353" s="135" t="s">
        <v>164</v>
      </c>
      <c r="C353" s="133">
        <v>2700.0</v>
      </c>
      <c r="D353" s="133">
        <v>11400.0</v>
      </c>
      <c r="E353" s="62">
        <v>0.18</v>
      </c>
      <c r="F353" s="62">
        <v>0.32</v>
      </c>
      <c r="G353" s="133">
        <v>380.0</v>
      </c>
      <c r="H353" s="135">
        <v>1850.0</v>
      </c>
      <c r="I353" s="62">
        <v>1.127463251420707</v>
      </c>
      <c r="J353" s="62">
        <v>5.789711647638777</v>
      </c>
      <c r="K353" s="37"/>
      <c r="L353" s="35"/>
    </row>
    <row r="354" spans="8:8">
      <c r="A354" s="190"/>
      <c r="B354" s="135" t="s">
        <v>165</v>
      </c>
      <c r="C354" s="133">
        <v>9000.0</v>
      </c>
      <c r="D354" s="133">
        <v>35000.0</v>
      </c>
      <c r="E354" s="62">
        <v>0.15</v>
      </c>
      <c r="F354" s="62">
        <v>0.16</v>
      </c>
      <c r="G354" s="133">
        <v>664.0</v>
      </c>
      <c r="H354" s="133">
        <v>3200.0</v>
      </c>
      <c r="I354" s="62">
        <v>0.04308505725880485</v>
      </c>
      <c r="J354" s="62">
        <v>0.760392167605821</v>
      </c>
      <c r="K354" s="37"/>
      <c r="L354" s="33"/>
    </row>
    <row r="355" spans="8:8">
      <c r="A355" s="191"/>
      <c r="B355" s="135" t="s">
        <v>166</v>
      </c>
      <c r="C355" s="133">
        <v>550.0</v>
      </c>
      <c r="D355" s="133">
        <v>2400.0</v>
      </c>
      <c r="E355" s="62">
        <v>0.81</v>
      </c>
      <c r="F355" s="62">
        <v>1.13</v>
      </c>
      <c r="G355" s="133">
        <v>260.0</v>
      </c>
      <c r="H355" s="133">
        <v>1200.0</v>
      </c>
      <c r="I355" s="62">
        <v>3.6016122667837225</v>
      </c>
      <c r="J355" s="62">
        <v>4.943143814327161</v>
      </c>
      <c r="K355" s="37"/>
      <c r="L355" s="33"/>
    </row>
    <row r="356" spans="8:8">
      <c r="A356" s="24" t="s">
        <v>64</v>
      </c>
      <c r="B356" s="135" t="s">
        <v>167</v>
      </c>
      <c r="C356" s="133">
        <v>2100.0</v>
      </c>
      <c r="D356" s="133">
        <v>2400.0</v>
      </c>
      <c r="E356" s="62">
        <v>0.15</v>
      </c>
      <c r="F356" s="62">
        <v>0.15</v>
      </c>
      <c r="G356" s="133">
        <v>140.0</v>
      </c>
      <c r="H356" s="133">
        <v>1000.0</v>
      </c>
      <c r="I356" s="62">
        <v>3.635376171689333</v>
      </c>
      <c r="J356" s="62">
        <v>14.96172461183662</v>
      </c>
      <c r="K356" s="37"/>
      <c r="L356" s="33"/>
    </row>
    <row r="357" spans="8:8">
      <c r="A357" s="186" t="s">
        <v>65</v>
      </c>
      <c r="B357" s="135" t="s">
        <v>168</v>
      </c>
      <c r="C357" s="133">
        <v>1396.867850885</v>
      </c>
      <c r="D357" s="133">
        <v>6487.8017300125</v>
      </c>
      <c r="E357" s="62">
        <v>0.03</v>
      </c>
      <c r="F357" s="62">
        <v>0.15</v>
      </c>
      <c r="G357" s="133">
        <v>60.0</v>
      </c>
      <c r="H357" s="133">
        <v>180.0</v>
      </c>
      <c r="I357" s="62">
        <v>0.3729508931024965</v>
      </c>
      <c r="J357" s="62">
        <v>0.3272476081062534</v>
      </c>
      <c r="K357" s="209"/>
      <c r="L357" s="33"/>
    </row>
    <row r="358" spans="8:8">
      <c r="A358" s="191"/>
      <c r="B358" s="135" t="s">
        <v>169</v>
      </c>
      <c r="C358" s="133">
        <v>4104.8051206889995</v>
      </c>
      <c r="D358" s="133">
        <v>17311.033632596</v>
      </c>
      <c r="E358" s="62">
        <v>0.05</v>
      </c>
      <c r="F358" s="62">
        <v>0.1</v>
      </c>
      <c r="G358" s="133">
        <v>30.0</v>
      </c>
      <c r="H358" s="133">
        <v>300.0</v>
      </c>
      <c r="I358" s="62">
        <v>-0.9286445443644558</v>
      </c>
      <c r="J358" s="62">
        <v>-0.5153849425038797</v>
      </c>
      <c r="K358" s="37"/>
      <c r="L358" s="33"/>
    </row>
    <row r="359" spans="8:8">
      <c r="A359" s="186" t="s">
        <v>66</v>
      </c>
      <c r="B359" s="135" t="s">
        <v>170</v>
      </c>
      <c r="C359" s="133">
        <v>4054.2196290090005</v>
      </c>
      <c r="D359" s="133">
        <v>13780.193952393001</v>
      </c>
      <c r="E359" s="62">
        <v>0.1</v>
      </c>
      <c r="F359" s="62">
        <v>0.1</v>
      </c>
      <c r="G359" s="133">
        <v>370.0</v>
      </c>
      <c r="H359" s="135">
        <v>1000.0</v>
      </c>
      <c r="I359" s="62">
        <v>0.1188933321294594</v>
      </c>
      <c r="J359" s="62">
        <v>0.2904732933060059</v>
      </c>
      <c r="K359" s="209"/>
      <c r="L359" s="33"/>
    </row>
    <row r="360" spans="8:8">
      <c r="A360" s="190"/>
      <c r="B360" s="135" t="s">
        <v>171</v>
      </c>
      <c r="C360" s="133">
        <v>2646.9567182912006</v>
      </c>
      <c r="D360" s="133">
        <v>9948.4256533088</v>
      </c>
      <c r="E360" s="62">
        <v>0.12</v>
      </c>
      <c r="F360" s="62">
        <v>0.12</v>
      </c>
      <c r="G360" s="133">
        <v>160.0</v>
      </c>
      <c r="H360" s="133">
        <v>1050.0</v>
      </c>
      <c r="I360" s="62">
        <v>-0.04021321642281861</v>
      </c>
      <c r="J360" s="62">
        <v>0.49511875659572246</v>
      </c>
      <c r="K360" s="209"/>
      <c r="L360" s="33"/>
    </row>
    <row r="361" spans="8:8">
      <c r="A361" s="190"/>
      <c r="B361" s="135" t="s">
        <v>172</v>
      </c>
      <c r="C361" s="133">
        <v>1054.3540552448</v>
      </c>
      <c r="D361" s="133">
        <v>4493.3118890375</v>
      </c>
      <c r="E361" s="62">
        <v>0.28</v>
      </c>
      <c r="F361" s="62">
        <v>0.25</v>
      </c>
      <c r="G361" s="133">
        <v>210.87081104896004</v>
      </c>
      <c r="H361" s="133">
        <v>950.0</v>
      </c>
      <c r="I361" s="62">
        <v>0.4072100299142478</v>
      </c>
      <c r="J361" s="62">
        <v>0.3503759358191232</v>
      </c>
      <c r="K361" s="37"/>
      <c r="L361" s="33"/>
    </row>
    <row r="362" spans="8:8">
      <c r="A362" s="190"/>
      <c r="B362" s="135" t="s">
        <v>173</v>
      </c>
      <c r="C362" s="133">
        <v>8500.0</v>
      </c>
      <c r="D362" s="133">
        <v>31000.0</v>
      </c>
      <c r="E362" s="62">
        <v>0.11635749156103303</v>
      </c>
      <c r="F362" s="62">
        <v>0.12405780850050174</v>
      </c>
      <c r="G362" s="133">
        <v>572.5</v>
      </c>
      <c r="H362" s="133">
        <v>1800.0</v>
      </c>
      <c r="I362" s="62">
        <v>0.538678483299794</v>
      </c>
      <c r="J362" s="62">
        <v>14.891644250395185</v>
      </c>
      <c r="K362" s="210"/>
      <c r="L362" s="211"/>
    </row>
    <row r="363" spans="8:8">
      <c r="A363" s="191"/>
      <c r="B363" s="135" t="s">
        <v>174</v>
      </c>
      <c r="C363" s="133">
        <v>1916.3363387805002</v>
      </c>
      <c r="D363" s="133">
        <v>6346.331033080501</v>
      </c>
      <c r="E363" s="62">
        <v>0.05</v>
      </c>
      <c r="F363" s="62">
        <v>0.05</v>
      </c>
      <c r="G363" s="133">
        <v>122.88858879634253</v>
      </c>
      <c r="H363" s="133">
        <v>350.0</v>
      </c>
      <c r="I363" s="62">
        <v>18.051240549570426</v>
      </c>
      <c r="J363" s="62" t="s">
        <v>4</v>
      </c>
      <c r="K363" s="210"/>
      <c r="L363" s="211"/>
    </row>
    <row r="364" spans="8:8">
      <c r="A364" s="24" t="s">
        <v>67</v>
      </c>
      <c r="B364" s="135" t="s">
        <v>175</v>
      </c>
      <c r="C364" s="133">
        <v>846.582779887</v>
      </c>
      <c r="D364" s="133">
        <v>3941.84774481</v>
      </c>
      <c r="E364" s="62">
        <v>0.3</v>
      </c>
      <c r="F364" s="62">
        <v>0.5</v>
      </c>
      <c r="G364" s="133">
        <v>60.0</v>
      </c>
      <c r="H364" s="135">
        <v>250.0</v>
      </c>
      <c r="I364" s="62">
        <v>2.1846656599032657</v>
      </c>
      <c r="J364" s="62">
        <v>0.9285754124847605</v>
      </c>
      <c r="K364" s="210"/>
      <c r="L364" s="211"/>
    </row>
    <row r="365" spans="8:8">
      <c r="A365" s="186" t="s">
        <v>176</v>
      </c>
      <c r="B365" s="65" t="s">
        <v>177</v>
      </c>
      <c r="C365" s="133">
        <v>326.25615612499996</v>
      </c>
      <c r="D365" s="133">
        <v>1350.0</v>
      </c>
      <c r="E365" s="62">
        <v>0.25</v>
      </c>
      <c r="F365" s="62">
        <v>0.33922664361580224</v>
      </c>
      <c r="G365" s="137">
        <v>70.0</v>
      </c>
      <c r="H365" s="133">
        <v>340.0</v>
      </c>
      <c r="I365" s="62">
        <v>0.29409636458925625</v>
      </c>
      <c r="J365" s="62">
        <v>1.2174086386506318</v>
      </c>
      <c r="K365" s="210"/>
      <c r="L365" s="212"/>
    </row>
    <row r="366" spans="8:8">
      <c r="A366" s="191"/>
      <c r="B366" s="67" t="s">
        <v>178</v>
      </c>
      <c r="C366" s="133">
        <v>475.0</v>
      </c>
      <c r="D366" s="133">
        <v>1880.0</v>
      </c>
      <c r="E366" s="62">
        <v>0.02481990015022517</v>
      </c>
      <c r="F366" s="62">
        <v>0.09823838114980288</v>
      </c>
      <c r="G366" s="133">
        <v>63.0</v>
      </c>
      <c r="H366" s="133">
        <v>240.0</v>
      </c>
      <c r="I366" s="62">
        <v>0.05086078283587114</v>
      </c>
      <c r="J366" s="62">
        <v>0.14176665718138293</v>
      </c>
      <c r="K366" s="210"/>
      <c r="L366" s="212"/>
    </row>
    <row r="367" spans="8:8">
      <c r="A367" s="197"/>
      <c r="B367" s="197"/>
      <c r="C367" s="197"/>
      <c r="D367" s="197"/>
      <c r="E367" s="197"/>
      <c r="F367" s="197"/>
      <c r="G367" s="197"/>
      <c r="H367" s="197"/>
      <c r="I367" s="197"/>
      <c r="J367" s="197"/>
      <c r="K367" s="197"/>
      <c r="L367" s="197"/>
    </row>
    <row r="368" spans="8:8" ht="28.2">
      <c r="A368" s="46" t="s">
        <v>206</v>
      </c>
      <c r="B368" s="47"/>
      <c r="C368" s="47"/>
      <c r="D368" s="47"/>
      <c r="E368" s="47"/>
      <c r="F368" s="47"/>
      <c r="G368" s="47"/>
      <c r="H368" s="47"/>
      <c r="I368" s="47"/>
      <c r="J368" s="47"/>
      <c r="K368" s="47"/>
      <c r="L368" s="48"/>
    </row>
    <row r="369" spans="8:8" ht="75.6" customHeight="1">
      <c r="A369" s="49" t="s">
        <v>0</v>
      </c>
      <c r="B369" s="50" t="s">
        <v>1</v>
      </c>
      <c r="C369" s="51" t="s">
        <v>204</v>
      </c>
      <c r="D369" s="52"/>
      <c r="E369" s="53" t="s">
        <v>2</v>
      </c>
      <c r="F369" s="54"/>
      <c r="G369" s="53" t="s">
        <v>19</v>
      </c>
      <c r="H369" s="54"/>
      <c r="I369" s="53" t="s">
        <v>7</v>
      </c>
      <c r="J369" s="55"/>
      <c r="K369" s="56" t="s">
        <v>90</v>
      </c>
      <c r="L369" s="57" t="s">
        <v>5</v>
      </c>
    </row>
    <row r="370" spans="8:8" ht="23.4">
      <c r="A370" s="58"/>
      <c r="B370" s="16"/>
      <c r="C370" s="17" t="s">
        <v>91</v>
      </c>
      <c r="D370" s="18">
        <v>2026.0</v>
      </c>
      <c r="E370" s="17" t="s">
        <v>91</v>
      </c>
      <c r="F370" s="18">
        <v>2026.0</v>
      </c>
      <c r="G370" s="17" t="s">
        <v>91</v>
      </c>
      <c r="H370" s="18">
        <v>2026.0</v>
      </c>
      <c r="I370" s="17" t="s">
        <v>91</v>
      </c>
      <c r="J370" s="18">
        <v>2026.0</v>
      </c>
      <c r="K370" s="20"/>
      <c r="L370" s="21"/>
    </row>
    <row r="371" spans="8:8" ht="56.4" customHeight="1">
      <c r="A371" s="198" t="s">
        <v>207</v>
      </c>
      <c r="B371" s="24" t="s">
        <v>208</v>
      </c>
      <c r="C371" s="25" t="s">
        <v>6</v>
      </c>
      <c r="D371" s="25" t="s">
        <v>6</v>
      </c>
      <c r="E371" s="25" t="s">
        <v>6</v>
      </c>
      <c r="F371" s="25" t="s">
        <v>6</v>
      </c>
      <c r="G371" s="133" t="s">
        <v>209</v>
      </c>
      <c r="H371" s="25">
        <v>130.0</v>
      </c>
      <c r="I371" s="213" t="s">
        <v>210</v>
      </c>
      <c r="J371" s="37">
        <v>-0.1</v>
      </c>
      <c r="K371" s="62"/>
      <c r="L371" s="63" t="s">
        <v>211</v>
      </c>
    </row>
    <row r="372" spans="8:8" ht="64.2" customHeight="1">
      <c r="A372" s="199"/>
      <c r="B372" s="24" t="s">
        <v>212</v>
      </c>
      <c r="C372" s="25" t="s">
        <v>6</v>
      </c>
      <c r="D372" s="25" t="s">
        <v>6</v>
      </c>
      <c r="E372" s="25" t="s">
        <v>6</v>
      </c>
      <c r="F372" s="25" t="s">
        <v>6</v>
      </c>
      <c r="G372" s="133" t="s">
        <v>213</v>
      </c>
      <c r="H372" s="25">
        <v>58.0</v>
      </c>
      <c r="I372" s="213" t="s">
        <v>214</v>
      </c>
      <c r="J372" s="37">
        <v>-0.04</v>
      </c>
      <c r="K372" s="62"/>
      <c r="L372" s="63" t="s">
        <v>215</v>
      </c>
    </row>
    <row r="373" spans="8:8" ht="59.4" customHeight="1">
      <c r="A373" s="199"/>
      <c r="B373" s="24" t="s">
        <v>216</v>
      </c>
      <c r="C373" s="25" t="s">
        <v>6</v>
      </c>
      <c r="D373" s="25" t="s">
        <v>6</v>
      </c>
      <c r="E373" s="25" t="s">
        <v>6</v>
      </c>
      <c r="F373" s="25" t="s">
        <v>6</v>
      </c>
      <c r="G373" s="133" t="s">
        <v>217</v>
      </c>
      <c r="H373" s="25">
        <v>36.0</v>
      </c>
      <c r="I373" s="213" t="s">
        <v>218</v>
      </c>
      <c r="J373" s="37">
        <v>-0.1</v>
      </c>
      <c r="K373" s="62"/>
      <c r="L373" s="63" t="s">
        <v>219</v>
      </c>
    </row>
    <row r="374" spans="8:8" ht="59.4" customHeight="1">
      <c r="A374" s="199"/>
      <c r="B374" s="24" t="s">
        <v>220</v>
      </c>
      <c r="C374" s="25" t="s">
        <v>6</v>
      </c>
      <c r="D374" s="25" t="s">
        <v>6</v>
      </c>
      <c r="E374" s="25" t="s">
        <v>6</v>
      </c>
      <c r="F374" s="25" t="s">
        <v>6</v>
      </c>
      <c r="G374" s="133" t="s">
        <v>221</v>
      </c>
      <c r="H374" s="25">
        <v>18.0</v>
      </c>
      <c r="I374" s="213" t="s">
        <v>222</v>
      </c>
      <c r="J374" s="37">
        <v>-0.16</v>
      </c>
      <c r="K374" s="62"/>
      <c r="L374" s="63" t="s">
        <v>223</v>
      </c>
    </row>
    <row r="375" spans="8:8" ht="58.8" customHeight="1">
      <c r="A375" s="199"/>
      <c r="B375" s="24" t="s">
        <v>224</v>
      </c>
      <c r="C375" s="25" t="s">
        <v>6</v>
      </c>
      <c r="D375" s="25" t="s">
        <v>6</v>
      </c>
      <c r="E375" s="25" t="s">
        <v>6</v>
      </c>
      <c r="F375" s="25" t="s">
        <v>6</v>
      </c>
      <c r="G375" s="133" t="s">
        <v>225</v>
      </c>
      <c r="H375" s="25">
        <v>60.0</v>
      </c>
      <c r="I375" s="213" t="s">
        <v>226</v>
      </c>
      <c r="J375" s="37">
        <v>-0.2</v>
      </c>
      <c r="K375" s="62"/>
      <c r="L375" s="63" t="s">
        <v>227</v>
      </c>
    </row>
    <row r="376" spans="8:8" ht="68.4" customHeight="1">
      <c r="A376" s="198" t="s">
        <v>228</v>
      </c>
      <c r="B376" s="24" t="s">
        <v>229</v>
      </c>
      <c r="C376" s="25" t="s">
        <v>6</v>
      </c>
      <c r="D376" s="25" t="s">
        <v>6</v>
      </c>
      <c r="E376" s="25" t="s">
        <v>6</v>
      </c>
      <c r="F376" s="25" t="s">
        <v>6</v>
      </c>
      <c r="G376" s="133" t="s">
        <v>230</v>
      </c>
      <c r="H376" s="25">
        <v>350.0</v>
      </c>
      <c r="I376" s="213" t="s">
        <v>231</v>
      </c>
      <c r="J376" s="37">
        <v>0.01</v>
      </c>
      <c r="K376" s="62"/>
      <c r="L376" s="63" t="s">
        <v>232</v>
      </c>
    </row>
    <row r="377" spans="8:8" ht="61.8" customHeight="1">
      <c r="A377" s="199"/>
      <c r="B377" s="24" t="s">
        <v>233</v>
      </c>
      <c r="C377" s="25" t="s">
        <v>6</v>
      </c>
      <c r="D377" s="25" t="s">
        <v>6</v>
      </c>
      <c r="E377" s="25" t="s">
        <v>6</v>
      </c>
      <c r="F377" s="25" t="s">
        <v>6</v>
      </c>
      <c r="G377" s="133" t="s">
        <v>234</v>
      </c>
      <c r="H377" s="25">
        <v>75.0</v>
      </c>
      <c r="I377" s="213" t="s">
        <v>235</v>
      </c>
      <c r="J377" s="37">
        <v>0.01</v>
      </c>
      <c r="K377" s="62"/>
      <c r="L377" s="63" t="s">
        <v>236</v>
      </c>
    </row>
    <row r="378" spans="8:8" ht="61.8" customHeight="1">
      <c r="A378" s="199"/>
      <c r="B378" s="24" t="s">
        <v>237</v>
      </c>
      <c r="C378" s="25" t="s">
        <v>6</v>
      </c>
      <c r="D378" s="25" t="s">
        <v>6</v>
      </c>
      <c r="E378" s="25" t="s">
        <v>6</v>
      </c>
      <c r="F378" s="25" t="s">
        <v>6</v>
      </c>
      <c r="G378" s="133" t="s">
        <v>238</v>
      </c>
      <c r="H378" s="25">
        <v>92.0</v>
      </c>
      <c r="I378" s="213" t="s">
        <v>239</v>
      </c>
      <c r="J378" s="37">
        <v>0.08</v>
      </c>
      <c r="K378" s="62"/>
      <c r="L378" s="63" t="s">
        <v>240</v>
      </c>
    </row>
    <row r="379" spans="8:8" ht="59.4" customHeight="1">
      <c r="A379" s="200"/>
      <c r="B379" s="24" t="s">
        <v>241</v>
      </c>
      <c r="C379" s="25" t="s">
        <v>6</v>
      </c>
      <c r="D379" s="25" t="s">
        <v>6</v>
      </c>
      <c r="E379" s="25" t="s">
        <v>6</v>
      </c>
      <c r="F379" s="25" t="s">
        <v>6</v>
      </c>
      <c r="G379" s="133" t="s">
        <v>242</v>
      </c>
      <c r="H379" s="25">
        <v>53.0</v>
      </c>
      <c r="I379" s="213" t="s">
        <v>243</v>
      </c>
      <c r="J379" s="37">
        <v>0.11</v>
      </c>
      <c r="K379" s="62"/>
      <c r="L379" s="63" t="s">
        <v>244</v>
      </c>
    </row>
    <row r="380" spans="8:8" ht="64.2" customHeight="1">
      <c r="A380" s="24" t="s">
        <v>245</v>
      </c>
      <c r="B380" s="24" t="s">
        <v>246</v>
      </c>
      <c r="C380" s="25" t="s">
        <v>6</v>
      </c>
      <c r="D380" s="25" t="s">
        <v>6</v>
      </c>
      <c r="E380" s="25" t="s">
        <v>6</v>
      </c>
      <c r="F380" s="25" t="s">
        <v>6</v>
      </c>
      <c r="G380" s="133" t="s">
        <v>247</v>
      </c>
      <c r="H380" s="25">
        <v>50.0</v>
      </c>
      <c r="I380" s="213" t="s">
        <v>248</v>
      </c>
      <c r="J380" s="37">
        <v>0.1</v>
      </c>
      <c r="K380" s="62"/>
      <c r="L380" s="63" t="s">
        <v>249</v>
      </c>
    </row>
    <row r="381" spans="8:8" ht="55.2" customHeight="1">
      <c r="A381" s="198" t="s">
        <v>250</v>
      </c>
      <c r="B381" s="24" t="s">
        <v>251</v>
      </c>
      <c r="C381" s="25" t="s">
        <v>6</v>
      </c>
      <c r="D381" s="25" t="s">
        <v>6</v>
      </c>
      <c r="E381" s="25" t="s">
        <v>6</v>
      </c>
      <c r="F381" s="25" t="s">
        <v>6</v>
      </c>
      <c r="G381" s="133" t="s">
        <v>252</v>
      </c>
      <c r="H381" s="25">
        <v>85.0</v>
      </c>
      <c r="I381" s="213" t="s">
        <v>222</v>
      </c>
      <c r="J381" s="37">
        <v>-0.09</v>
      </c>
      <c r="K381" s="62"/>
      <c r="L381" s="63" t="s">
        <v>253</v>
      </c>
    </row>
    <row r="382" spans="8:8" ht="58.8" customHeight="1">
      <c r="A382" s="200"/>
      <c r="B382" s="24" t="s">
        <v>254</v>
      </c>
      <c r="C382" s="25" t="s">
        <v>6</v>
      </c>
      <c r="D382" s="25" t="s">
        <v>6</v>
      </c>
      <c r="E382" s="25" t="s">
        <v>6</v>
      </c>
      <c r="F382" s="25" t="s">
        <v>6</v>
      </c>
      <c r="G382" s="133" t="s">
        <v>255</v>
      </c>
      <c r="H382" s="25">
        <v>103.0</v>
      </c>
      <c r="I382" s="213" t="s">
        <v>256</v>
      </c>
      <c r="J382" s="37">
        <v>0.05</v>
      </c>
      <c r="K382" s="62"/>
      <c r="L382" s="63" t="s">
        <v>257</v>
      </c>
    </row>
    <row r="383" spans="8:8" ht="22.2" customHeight="1">
      <c r="A383" s="105"/>
      <c r="B383" s="201"/>
      <c r="C383" s="214"/>
      <c r="D383" s="214"/>
      <c r="E383" s="214"/>
      <c r="F383" s="214"/>
      <c r="G383" s="215"/>
      <c r="H383" s="214"/>
      <c r="I383" s="216"/>
      <c r="J383" s="217"/>
      <c r="K383" s="218"/>
      <c r="L383" s="219"/>
    </row>
    <row r="384" spans="8:8" ht="22.2" customHeight="1">
      <c r="A384" s="46" t="s">
        <v>756</v>
      </c>
      <c r="B384" s="47"/>
      <c r="C384" s="47"/>
      <c r="D384" s="47"/>
      <c r="E384" s="47"/>
      <c r="F384" s="47"/>
      <c r="G384" s="47"/>
      <c r="H384" s="47"/>
      <c r="I384" s="47"/>
      <c r="J384" s="47"/>
      <c r="K384" s="47"/>
      <c r="L384" s="48"/>
    </row>
    <row r="385" spans="8:8" ht="58.2" customHeight="1">
      <c r="A385" s="49" t="s">
        <v>0</v>
      </c>
      <c r="B385" s="50" t="s">
        <v>1</v>
      </c>
      <c r="C385" s="51" t="s">
        <v>204</v>
      </c>
      <c r="D385" s="52"/>
      <c r="E385" s="53" t="s">
        <v>2</v>
      </c>
      <c r="F385" s="54"/>
      <c r="G385" s="53" t="s">
        <v>19</v>
      </c>
      <c r="H385" s="54"/>
      <c r="I385" s="53" t="s">
        <v>7</v>
      </c>
      <c r="J385" s="55"/>
      <c r="K385" s="56" t="s">
        <v>90</v>
      </c>
      <c r="L385" s="57" t="s">
        <v>5</v>
      </c>
    </row>
    <row r="386" spans="8:8" ht="22.2" customHeight="1">
      <c r="A386" s="58"/>
      <c r="B386" s="16"/>
      <c r="C386" s="17" t="s">
        <v>91</v>
      </c>
      <c r="D386" s="18">
        <v>2026.0</v>
      </c>
      <c r="E386" s="17" t="s">
        <v>91</v>
      </c>
      <c r="F386" s="18">
        <v>2026.0</v>
      </c>
      <c r="G386" s="17" t="s">
        <v>91</v>
      </c>
      <c r="H386" s="18">
        <v>2026.0</v>
      </c>
      <c r="I386" s="17" t="s">
        <v>91</v>
      </c>
      <c r="J386" s="18">
        <v>2026.0</v>
      </c>
      <c r="K386" s="20"/>
      <c r="L386" s="21"/>
    </row>
    <row r="387" spans="8:8" ht="22.2" customHeight="1">
      <c r="A387" s="220" t="s">
        <v>728</v>
      </c>
      <c r="B387" s="221" t="s">
        <v>729</v>
      </c>
      <c r="C387" s="222">
        <v>107990.45265094457</v>
      </c>
      <c r="D387" s="222">
        <v>431961.8106037783</v>
      </c>
      <c r="E387" s="223">
        <v>0.21634155920553</v>
      </c>
      <c r="F387" s="223">
        <v>0.23743252409918325</v>
      </c>
      <c r="G387" s="222">
        <v>20000.0</v>
      </c>
      <c r="H387" s="222">
        <v>85000.0</v>
      </c>
      <c r="I387" s="223">
        <v>0.5238095238095237</v>
      </c>
      <c r="J387" s="223">
        <v>0.6417</v>
      </c>
      <c r="K387" s="223"/>
      <c r="L387" s="224" t="s">
        <v>730</v>
      </c>
    </row>
    <row r="388" spans="8:8" ht="22.2" customHeight="1">
      <c r="A388" s="225"/>
      <c r="B388" s="221" t="s">
        <v>731</v>
      </c>
      <c r="C388" s="222">
        <v>68000.0</v>
      </c>
      <c r="D388" s="222">
        <v>275000.0</v>
      </c>
      <c r="E388" s="223">
        <v>0.3944</v>
      </c>
      <c r="F388" s="223">
        <v>0.3305</v>
      </c>
      <c r="G388" s="222">
        <v>8500.0</v>
      </c>
      <c r="H388" s="222">
        <v>33000.0</v>
      </c>
      <c r="I388" s="223">
        <v>0.7989</v>
      </c>
      <c r="J388" s="223">
        <v>0.6225</v>
      </c>
      <c r="K388" s="223"/>
      <c r="L388" s="224" t="s">
        <v>732</v>
      </c>
    </row>
    <row r="389" spans="8:8" ht="22.2" customHeight="1">
      <c r="A389" s="226"/>
      <c r="B389" s="221" t="s">
        <v>733</v>
      </c>
      <c r="C389" s="222">
        <v>3650.0</v>
      </c>
      <c r="D389" s="222">
        <v>14600.0</v>
      </c>
      <c r="E389" s="223">
        <v>0.0414</v>
      </c>
      <c r="F389" s="223">
        <v>0.0508</v>
      </c>
      <c r="G389" s="222">
        <v>750.0</v>
      </c>
      <c r="H389" s="222">
        <v>3000.0</v>
      </c>
      <c r="I389" s="223">
        <v>0.0885</v>
      </c>
      <c r="J389" s="223">
        <v>0.2826</v>
      </c>
      <c r="K389" s="223"/>
      <c r="L389" s="224" t="s">
        <v>734</v>
      </c>
    </row>
    <row r="390" spans="8:8" ht="22.2" customHeight="1">
      <c r="A390" s="198" t="s">
        <v>735</v>
      </c>
      <c r="B390" s="24" t="s">
        <v>736</v>
      </c>
      <c r="C390" s="24">
        <v>63397.0</v>
      </c>
      <c r="D390" s="24">
        <v>259443.0</v>
      </c>
      <c r="E390" s="37">
        <v>0.046</v>
      </c>
      <c r="F390" s="37">
        <v>0.076</v>
      </c>
      <c r="G390" s="24">
        <v>5278.0</v>
      </c>
      <c r="H390" s="24">
        <v>19201.0</v>
      </c>
      <c r="I390" s="37">
        <f>G390/3533-1</f>
        <v>0.49391452023775995</v>
      </c>
      <c r="J390" s="37">
        <f>H390/100/126.74-1</f>
        <v>0.51499132081427</v>
      </c>
      <c r="K390" s="37"/>
      <c r="L390" s="33" t="s">
        <v>737</v>
      </c>
    </row>
    <row r="391" spans="8:8" ht="22.2" customHeight="1">
      <c r="A391" s="199"/>
      <c r="B391" s="24" t="s">
        <v>738</v>
      </c>
      <c r="C391" s="24">
        <v>16368.0</v>
      </c>
      <c r="D391" s="24">
        <v>63960.0</v>
      </c>
      <c r="E391" s="37">
        <v>0.1</v>
      </c>
      <c r="F391" s="37">
        <v>0.066</v>
      </c>
      <c r="G391" s="24">
        <v>3643.0</v>
      </c>
      <c r="H391" s="24">
        <v>13343.0</v>
      </c>
      <c r="I391" s="37">
        <f>G391/2450-1</f>
        <v>0.48693877551019993</v>
      </c>
      <c r="J391" s="37">
        <f>H391/100/60.55-1</f>
        <v>1.2036333608588001</v>
      </c>
      <c r="K391" s="37"/>
      <c r="L391" s="33" t="s">
        <v>739</v>
      </c>
    </row>
    <row r="392" spans="8:8" ht="22.2" customHeight="1">
      <c r="A392" s="199"/>
      <c r="B392" s="24" t="s">
        <v>740</v>
      </c>
      <c r="C392" s="24">
        <v>8757.0</v>
      </c>
      <c r="D392" s="24">
        <v>33585.0</v>
      </c>
      <c r="E392" s="37">
        <f>C392/7403-1</f>
        <v>0.18289882480075992</v>
      </c>
      <c r="F392" s="37">
        <v>0.1384</v>
      </c>
      <c r="G392" s="24">
        <v>2297.0</v>
      </c>
      <c r="H392" s="24">
        <v>8777.0</v>
      </c>
      <c r="I392" s="37">
        <f>G392/1027-1</f>
        <v>1.2366114897760498</v>
      </c>
      <c r="J392" s="37">
        <f>H392/100/48.18-1</f>
        <v>0.8217102532170999</v>
      </c>
      <c r="K392" s="37"/>
      <c r="L392" s="33" t="s">
        <v>741</v>
      </c>
    </row>
    <row r="393" spans="8:8" ht="22.2" customHeight="1">
      <c r="A393" s="200"/>
      <c r="B393" s="24" t="s">
        <v>742</v>
      </c>
      <c r="C393" s="24">
        <v>12800.0</v>
      </c>
      <c r="D393" s="24">
        <v>49502.0</v>
      </c>
      <c r="E393" s="37">
        <v>0.18</v>
      </c>
      <c r="F393" s="37">
        <v>0.2</v>
      </c>
      <c r="G393" s="24">
        <v>2420.0</v>
      </c>
      <c r="H393" s="24">
        <v>8970.0</v>
      </c>
      <c r="I393" s="37">
        <f>G393/1196-1</f>
        <v>1.0234113712374602</v>
      </c>
      <c r="J393" s="37">
        <f>H393/100/40.05-1</f>
        <v>1.2397003745318398</v>
      </c>
      <c r="K393" s="37"/>
      <c r="L393" s="33" t="s">
        <v>743</v>
      </c>
    </row>
    <row r="394" spans="8:8" ht="22.2" customHeight="1">
      <c r="A394" s="227" t="s">
        <v>744</v>
      </c>
      <c r="B394" s="24" t="s">
        <v>745</v>
      </c>
      <c r="C394" s="24">
        <v>2300.0</v>
      </c>
      <c r="D394" s="24">
        <v>12500.0</v>
      </c>
      <c r="E394" s="37">
        <v>0.11</v>
      </c>
      <c r="F394" s="37">
        <v>0.5</v>
      </c>
      <c r="G394" s="24">
        <v>400.0</v>
      </c>
      <c r="H394" s="24">
        <v>1600.0</v>
      </c>
      <c r="I394" s="37">
        <v>0.18</v>
      </c>
      <c r="J394" s="37">
        <v>0.44</v>
      </c>
      <c r="K394" s="37"/>
      <c r="L394" s="33" t="s">
        <v>746</v>
      </c>
    </row>
    <row r="395" spans="8:8" ht="22.2" customHeight="1">
      <c r="A395" s="220" t="s">
        <v>747</v>
      </c>
      <c r="B395" s="221" t="s">
        <v>748</v>
      </c>
      <c r="C395" s="222">
        <v>1500.0</v>
      </c>
      <c r="D395" s="222">
        <v>7000.0</v>
      </c>
      <c r="E395" s="223">
        <v>0.28</v>
      </c>
      <c r="F395" s="223">
        <v>0.2</v>
      </c>
      <c r="G395" s="222">
        <v>150.0</v>
      </c>
      <c r="H395" s="222">
        <v>800.0</v>
      </c>
      <c r="I395" s="223">
        <v>5.0</v>
      </c>
      <c r="J395" s="223">
        <v>5.25</v>
      </c>
      <c r="K395" s="223"/>
      <c r="L395" s="224" t="s">
        <v>749</v>
      </c>
    </row>
    <row r="396" spans="8:8" ht="22.2" customHeight="1">
      <c r="A396" s="225"/>
      <c r="B396" s="221" t="s">
        <v>750</v>
      </c>
      <c r="C396" s="222">
        <v>15326.0</v>
      </c>
      <c r="D396" s="222">
        <v>68100.0</v>
      </c>
      <c r="E396" s="223">
        <v>0.3944</v>
      </c>
      <c r="F396" s="223">
        <v>0.3305</v>
      </c>
      <c r="G396" s="222">
        <v>900.0</v>
      </c>
      <c r="H396" s="222">
        <v>5000.0</v>
      </c>
      <c r="I396" s="223">
        <v>0.7989</v>
      </c>
      <c r="J396" s="223">
        <v>1.22</v>
      </c>
      <c r="K396" s="223"/>
      <c r="L396" s="224" t="s">
        <v>751</v>
      </c>
    </row>
    <row r="397" spans="8:8" ht="22.2" customHeight="1">
      <c r="A397" s="225"/>
      <c r="B397" s="221" t="s">
        <v>752</v>
      </c>
      <c r="C397" s="222">
        <v>1800.0</v>
      </c>
      <c r="D397" s="222">
        <v>7500.0</v>
      </c>
      <c r="E397" s="223">
        <v>0.17</v>
      </c>
      <c r="F397" s="223">
        <v>0.29</v>
      </c>
      <c r="G397" s="222">
        <v>270.0</v>
      </c>
      <c r="H397" s="222">
        <v>1400.0</v>
      </c>
      <c r="I397" s="223">
        <v>0.2</v>
      </c>
      <c r="J397" s="223">
        <v>0.75</v>
      </c>
      <c r="K397" s="223"/>
      <c r="L397" s="224" t="s">
        <v>753</v>
      </c>
    </row>
    <row r="398" spans="8:8" ht="22.2" customHeight="1">
      <c r="A398" s="226"/>
      <c r="B398" s="221" t="s">
        <v>754</v>
      </c>
      <c r="C398" s="222">
        <v>4780.0</v>
      </c>
      <c r="D398" s="222">
        <v>17250.0</v>
      </c>
      <c r="E398" s="223">
        <v>0.3</v>
      </c>
      <c r="F398" s="223">
        <v>0.25</v>
      </c>
      <c r="G398" s="222">
        <v>1150.0</v>
      </c>
      <c r="H398" s="222">
        <v>5500.0</v>
      </c>
      <c r="I398" s="223">
        <v>0.63</v>
      </c>
      <c r="J398" s="223">
        <v>0.74</v>
      </c>
      <c r="K398" s="223"/>
      <c r="L398" s="224" t="s">
        <v>755</v>
      </c>
    </row>
    <row r="399" spans="8:8">
      <c r="A399" s="201"/>
      <c r="B399" s="228"/>
      <c r="C399" s="214"/>
      <c r="D399" s="201"/>
      <c r="E399" s="217"/>
      <c r="F399" s="217"/>
      <c r="G399" s="201"/>
      <c r="H399" s="201"/>
      <c r="I399" s="217"/>
      <c r="J399" s="217"/>
      <c r="K399" s="217"/>
      <c r="L399" s="229"/>
    </row>
    <row r="400" spans="8:8" ht="28.2">
      <c r="A400" s="46" t="s">
        <v>266</v>
      </c>
      <c r="B400" s="47"/>
      <c r="C400" s="47"/>
      <c r="D400" s="47"/>
      <c r="E400" s="47"/>
      <c r="F400" s="47"/>
      <c r="G400" s="47"/>
      <c r="H400" s="47"/>
      <c r="I400" s="47"/>
      <c r="J400" s="47"/>
      <c r="K400" s="47"/>
      <c r="L400" s="48"/>
    </row>
    <row r="401" spans="8:8" ht="52.8" customHeight="1">
      <c r="A401" s="49" t="s">
        <v>0</v>
      </c>
      <c r="B401" s="50" t="s">
        <v>1</v>
      </c>
      <c r="C401" s="51" t="s">
        <v>204</v>
      </c>
      <c r="D401" s="52"/>
      <c r="E401" s="53" t="s">
        <v>2</v>
      </c>
      <c r="F401" s="54"/>
      <c r="G401" s="53" t="s">
        <v>19</v>
      </c>
      <c r="H401" s="54"/>
      <c r="I401" s="53" t="s">
        <v>7</v>
      </c>
      <c r="J401" s="55"/>
      <c r="K401" s="56" t="s">
        <v>90</v>
      </c>
      <c r="L401" s="57" t="s">
        <v>5</v>
      </c>
    </row>
    <row r="402" spans="8:8" ht="23.4">
      <c r="A402" s="58"/>
      <c r="B402" s="16"/>
      <c r="C402" s="17" t="s">
        <v>91</v>
      </c>
      <c r="D402" s="18">
        <v>2026.0</v>
      </c>
      <c r="E402" s="17" t="s">
        <v>91</v>
      </c>
      <c r="F402" s="18">
        <v>2026.0</v>
      </c>
      <c r="G402" s="17" t="s">
        <v>91</v>
      </c>
      <c r="H402" s="18">
        <v>2026.0</v>
      </c>
      <c r="I402" s="17" t="s">
        <v>91</v>
      </c>
      <c r="J402" s="18">
        <v>2026.0</v>
      </c>
      <c r="K402" s="20"/>
      <c r="L402" s="21"/>
    </row>
    <row r="403" spans="8:8">
      <c r="A403" s="24" t="s">
        <v>258</v>
      </c>
      <c r="B403" s="59" t="s">
        <v>21</v>
      </c>
      <c r="C403" s="133">
        <v>1217.0</v>
      </c>
      <c r="D403" s="137">
        <v>4371.0</v>
      </c>
      <c r="E403" s="62">
        <v>0.21</v>
      </c>
      <c r="F403" s="62">
        <v>0.0976</v>
      </c>
      <c r="G403" s="133">
        <v>471.0</v>
      </c>
      <c r="H403" s="137">
        <v>1457.0</v>
      </c>
      <c r="I403" s="62">
        <v>0.427</v>
      </c>
      <c r="J403" s="62">
        <v>0.1925</v>
      </c>
      <c r="K403" s="62"/>
      <c r="L403" s="189" t="s">
        <v>259</v>
      </c>
    </row>
    <row r="404" spans="8:8">
      <c r="A404" s="24" t="s">
        <v>260</v>
      </c>
      <c r="B404" s="67" t="s">
        <v>261</v>
      </c>
      <c r="C404" s="133">
        <v>110.0</v>
      </c>
      <c r="D404" s="133">
        <v>525.0</v>
      </c>
      <c r="E404" s="62">
        <v>-0.12</v>
      </c>
      <c r="F404" s="62">
        <v>0.0434</v>
      </c>
      <c r="G404" s="133">
        <v>9.0</v>
      </c>
      <c r="H404" s="133">
        <v>42.4</v>
      </c>
      <c r="I404" s="62">
        <v>-0.16</v>
      </c>
      <c r="J404" s="62">
        <v>0.1045</v>
      </c>
      <c r="K404" s="62"/>
      <c r="L404" s="193" t="s">
        <v>262</v>
      </c>
    </row>
    <row r="405" spans="8:8">
      <c r="A405" s="24" t="s">
        <v>23</v>
      </c>
      <c r="B405" s="65" t="s">
        <v>24</v>
      </c>
      <c r="C405" s="133">
        <v>853.0</v>
      </c>
      <c r="D405" s="133">
        <v>3413.0</v>
      </c>
      <c r="E405" s="62">
        <v>0.157</v>
      </c>
      <c r="F405" s="62">
        <v>0.1058</v>
      </c>
      <c r="G405" s="137">
        <v>15.0</v>
      </c>
      <c r="H405" s="133">
        <v>60.0</v>
      </c>
      <c r="I405" s="62">
        <v>106.14</v>
      </c>
      <c r="J405" s="62">
        <v>6.08</v>
      </c>
      <c r="K405" s="62"/>
      <c r="L405" s="193" t="s">
        <v>263</v>
      </c>
    </row>
    <row r="406" spans="8:8">
      <c r="A406" s="24" t="s">
        <v>264</v>
      </c>
      <c r="B406" s="67" t="s">
        <v>22</v>
      </c>
      <c r="C406" s="133">
        <v>76.0</v>
      </c>
      <c r="D406" s="133">
        <v>302.0</v>
      </c>
      <c r="E406" s="62">
        <v>0.305</v>
      </c>
      <c r="F406" s="62">
        <v>0.246</v>
      </c>
      <c r="G406" s="133">
        <v>7.0</v>
      </c>
      <c r="H406" s="133">
        <v>27.0</v>
      </c>
      <c r="I406" s="62">
        <v>0.46</v>
      </c>
      <c r="J406" s="62">
        <v>0.45</v>
      </c>
      <c r="K406" s="62"/>
      <c r="L406" s="193" t="s">
        <v>265</v>
      </c>
    </row>
    <row r="407" spans="8:8">
      <c r="A407" s="230"/>
      <c r="B407" s="231"/>
      <c r="C407" s="232"/>
      <c r="D407" s="232"/>
      <c r="E407" s="233"/>
      <c r="F407" s="233"/>
      <c r="G407" s="232"/>
      <c r="H407" s="232"/>
      <c r="I407" s="233"/>
      <c r="J407" s="233"/>
      <c r="K407" s="234"/>
      <c r="L407" s="235"/>
    </row>
    <row r="408" spans="8:8" ht="28.2">
      <c r="A408" s="46" t="s">
        <v>568</v>
      </c>
      <c r="B408" s="47"/>
      <c r="C408" s="47"/>
      <c r="D408" s="47"/>
      <c r="E408" s="47"/>
      <c r="F408" s="47"/>
      <c r="G408" s="47"/>
      <c r="H408" s="47"/>
      <c r="I408" s="47"/>
      <c r="J408" s="47"/>
      <c r="K408" s="47"/>
      <c r="L408" s="48"/>
    </row>
    <row r="409" spans="8:8" ht="72.6" customHeight="1">
      <c r="A409" s="49" t="s">
        <v>0</v>
      </c>
      <c r="B409" s="50" t="s">
        <v>1</v>
      </c>
      <c r="C409" s="51" t="s">
        <v>160</v>
      </c>
      <c r="D409" s="52"/>
      <c r="E409" s="53" t="s">
        <v>2</v>
      </c>
      <c r="F409" s="54"/>
      <c r="G409" s="53" t="s">
        <v>161</v>
      </c>
      <c r="H409" s="54"/>
      <c r="I409" s="53" t="s">
        <v>8</v>
      </c>
      <c r="J409" s="55"/>
      <c r="K409" s="56" t="s">
        <v>71</v>
      </c>
      <c r="L409" s="57" t="s">
        <v>5</v>
      </c>
    </row>
    <row r="410" spans="8:8" ht="23.4">
      <c r="A410" s="58"/>
      <c r="B410" s="16"/>
      <c r="C410" s="17" t="s">
        <v>72</v>
      </c>
      <c r="D410" s="18">
        <v>2026.0</v>
      </c>
      <c r="E410" s="17" t="s">
        <v>72</v>
      </c>
      <c r="F410" s="18">
        <v>2026.0</v>
      </c>
      <c r="G410" s="17" t="s">
        <v>72</v>
      </c>
      <c r="H410" s="18">
        <v>2026.0</v>
      </c>
      <c r="I410" s="17" t="s">
        <v>72</v>
      </c>
      <c r="J410" s="18">
        <v>2026.0</v>
      </c>
      <c r="K410" s="20"/>
      <c r="L410" s="21"/>
    </row>
    <row r="411" spans="8:8" ht="44.4">
      <c r="A411" s="198" t="s">
        <v>569</v>
      </c>
      <c r="B411" s="135" t="s">
        <v>570</v>
      </c>
      <c r="C411" s="133">
        <v>60000.0</v>
      </c>
      <c r="D411" s="133">
        <v>240700.0</v>
      </c>
      <c r="E411" s="62">
        <v>0.25</v>
      </c>
      <c r="F411" s="62">
        <v>0.1845</v>
      </c>
      <c r="G411" s="133">
        <v>5000.0</v>
      </c>
      <c r="H411" s="133">
        <v>19000.0</v>
      </c>
      <c r="I411" s="62">
        <v>0.38</v>
      </c>
      <c r="J411" s="62">
        <v>0.357</v>
      </c>
      <c r="K411" s="62"/>
      <c r="L411" s="63" t="s">
        <v>571</v>
      </c>
    </row>
    <row r="412" spans="8:8" ht="44.4">
      <c r="A412" s="200"/>
      <c r="B412" s="59" t="s">
        <v>572</v>
      </c>
      <c r="C412" s="133">
        <v>850.0</v>
      </c>
      <c r="D412" s="137">
        <v>3463.0</v>
      </c>
      <c r="E412" s="62">
        <v>0.19</v>
      </c>
      <c r="F412" s="62">
        <v>0.18</v>
      </c>
      <c r="G412" s="133">
        <v>80.0</v>
      </c>
      <c r="H412" s="137">
        <v>318.0</v>
      </c>
      <c r="I412" s="62">
        <v>0.04</v>
      </c>
      <c r="J412" s="62">
        <v>0.22</v>
      </c>
      <c r="K412" s="62"/>
      <c r="L412" s="63" t="s">
        <v>573</v>
      </c>
    </row>
    <row r="413" spans="8:8" ht="44.4">
      <c r="A413" s="198" t="s">
        <v>574</v>
      </c>
      <c r="B413" s="59" t="s">
        <v>575</v>
      </c>
      <c r="C413" s="133">
        <v>10551.0</v>
      </c>
      <c r="D413" s="133">
        <v>44213.0</v>
      </c>
      <c r="E413" s="62">
        <v>0.15</v>
      </c>
      <c r="F413" s="62">
        <v>0.2</v>
      </c>
      <c r="G413" s="133">
        <v>950.0</v>
      </c>
      <c r="H413" s="137">
        <v>4013.0</v>
      </c>
      <c r="I413" s="62">
        <v>0.2</v>
      </c>
      <c r="J413" s="62">
        <v>0.14</v>
      </c>
      <c r="K413" s="62"/>
      <c r="L413" s="63" t="s">
        <v>576</v>
      </c>
    </row>
    <row r="414" spans="8:8" ht="44.4">
      <c r="A414" s="200"/>
      <c r="B414" s="135" t="s">
        <v>577</v>
      </c>
      <c r="C414" s="133">
        <v>2300.0</v>
      </c>
      <c r="D414" s="135">
        <v>10020.0</v>
      </c>
      <c r="E414" s="62">
        <v>0.11</v>
      </c>
      <c r="F414" s="62">
        <v>0.16</v>
      </c>
      <c r="G414" s="133">
        <v>184.0</v>
      </c>
      <c r="H414" s="135">
        <v>1012.0</v>
      </c>
      <c r="I414" s="62">
        <v>-0.41</v>
      </c>
      <c r="J414" s="62">
        <v>-0.1</v>
      </c>
      <c r="K414" s="62"/>
      <c r="L414" s="63" t="s">
        <v>578</v>
      </c>
    </row>
    <row r="415" spans="8:8" ht="44.4">
      <c r="A415" s="198" t="s">
        <v>579</v>
      </c>
      <c r="B415" s="135" t="s">
        <v>580</v>
      </c>
      <c r="C415" s="133">
        <v>12516.593837745528</v>
      </c>
      <c r="D415" s="133">
        <v>45769.188732520255</v>
      </c>
      <c r="E415" s="62">
        <v>0.5661315064933363</v>
      </c>
      <c r="F415" s="62">
        <v>0.4779092664090263</v>
      </c>
      <c r="G415" s="133">
        <v>1350.0</v>
      </c>
      <c r="H415" s="133">
        <v>4900.0</v>
      </c>
      <c r="I415" s="62">
        <v>0.5661315064933365</v>
      </c>
      <c r="J415" s="62">
        <v>0.4779092664090263</v>
      </c>
      <c r="K415" s="62"/>
      <c r="L415" s="63" t="s">
        <v>581</v>
      </c>
    </row>
    <row r="416" spans="8:8">
      <c r="A416" s="200"/>
      <c r="B416" s="135" t="s">
        <v>582</v>
      </c>
      <c r="C416" s="133">
        <v>20198.189630168297</v>
      </c>
      <c r="D416" s="133">
        <v>59251.87615980036</v>
      </c>
      <c r="E416" s="62">
        <v>0.6763649627955097</v>
      </c>
      <c r="F416" s="62">
        <v>0.2334480620436028</v>
      </c>
      <c r="G416" s="133">
        <v>5500.0</v>
      </c>
      <c r="H416" s="133">
        <v>14000.0</v>
      </c>
      <c r="I416" s="62">
        <v>0.6763649627955095</v>
      </c>
      <c r="J416" s="62">
        <v>0.2334480620436028</v>
      </c>
      <c r="K416" s="62"/>
      <c r="L416" s="63" t="s">
        <v>583</v>
      </c>
    </row>
    <row r="417" spans="8:8">
      <c r="A417" s="198" t="s">
        <v>584</v>
      </c>
      <c r="B417" s="135" t="s">
        <v>585</v>
      </c>
      <c r="C417" s="133">
        <v>2504.9025621143082</v>
      </c>
      <c r="D417" s="133">
        <v>9869.54425385997</v>
      </c>
      <c r="E417" s="62">
        <v>0.9130571218293764</v>
      </c>
      <c r="F417" s="62">
        <v>0.8534257648908001</v>
      </c>
      <c r="G417" s="133">
        <v>900.0</v>
      </c>
      <c r="H417" s="133">
        <v>3100.0</v>
      </c>
      <c r="I417" s="62">
        <v>0.9130571218293766</v>
      </c>
      <c r="J417" s="62">
        <v>0.8534257648908004</v>
      </c>
      <c r="K417" s="62"/>
      <c r="L417" s="63" t="s">
        <v>586</v>
      </c>
    </row>
    <row r="418" spans="8:8" ht="44.4">
      <c r="A418" s="200"/>
      <c r="B418" s="135" t="s">
        <v>587</v>
      </c>
      <c r="C418" s="133">
        <v>4000.0</v>
      </c>
      <c r="D418" s="135">
        <v>11870.0</v>
      </c>
      <c r="E418" s="62">
        <v>0.37</v>
      </c>
      <c r="F418" s="62">
        <v>0.1376</v>
      </c>
      <c r="G418" s="133">
        <v>450.0</v>
      </c>
      <c r="H418" s="135">
        <v>1400.0</v>
      </c>
      <c r="I418" s="62">
        <v>0.21</v>
      </c>
      <c r="J418" s="62">
        <v>0.08</v>
      </c>
      <c r="K418" s="62"/>
      <c r="L418" s="63" t="s">
        <v>588</v>
      </c>
    </row>
    <row r="419" spans="8:8">
      <c r="A419" s="127" t="s">
        <v>589</v>
      </c>
      <c r="B419" s="135" t="s">
        <v>590</v>
      </c>
      <c r="C419" s="133">
        <v>1415.2678990319998</v>
      </c>
      <c r="D419" s="133">
        <v>5728.1930645</v>
      </c>
      <c r="E419" s="62">
        <v>0.19999999999999996</v>
      </c>
      <c r="F419" s="62">
        <v>0.25</v>
      </c>
      <c r="G419" s="133">
        <v>235.135813032</v>
      </c>
      <c r="H419" s="133">
        <v>762.8989094875</v>
      </c>
      <c r="I419" s="62">
        <v>0.19999999999999996</v>
      </c>
      <c r="J419" s="62">
        <v>0.25</v>
      </c>
      <c r="K419" s="62"/>
      <c r="L419" s="63" t="s">
        <v>591</v>
      </c>
    </row>
    <row r="420" spans="8:8">
      <c r="A420" s="236"/>
      <c r="B420" s="104"/>
      <c r="C420" s="104"/>
      <c r="D420" s="104"/>
      <c r="E420" s="104"/>
      <c r="F420" s="104"/>
      <c r="G420" s="104"/>
      <c r="H420" s="104"/>
      <c r="I420" s="104"/>
      <c r="J420" s="104"/>
      <c r="K420" s="104"/>
      <c r="L420" s="237"/>
    </row>
    <row r="421" spans="8:8" ht="28.2">
      <c r="A421" s="46" t="s">
        <v>1045</v>
      </c>
      <c r="B421" s="47"/>
      <c r="C421" s="47"/>
      <c r="D421" s="47"/>
      <c r="E421" s="47"/>
      <c r="F421" s="47"/>
      <c r="G421" s="47"/>
      <c r="H421" s="47"/>
      <c r="I421" s="47"/>
      <c r="J421" s="47"/>
      <c r="K421" s="47"/>
      <c r="L421" s="48"/>
    </row>
    <row r="422" spans="8:8" ht="63.6" customHeight="1">
      <c r="A422" s="49" t="s">
        <v>0</v>
      </c>
      <c r="B422" s="50" t="s">
        <v>1</v>
      </c>
      <c r="C422" s="51" t="s">
        <v>204</v>
      </c>
      <c r="D422" s="52"/>
      <c r="E422" s="53" t="s">
        <v>2</v>
      </c>
      <c r="F422" s="54"/>
      <c r="G422" s="53" t="s">
        <v>19</v>
      </c>
      <c r="H422" s="54"/>
      <c r="I422" s="53" t="s">
        <v>7</v>
      </c>
      <c r="J422" s="55"/>
      <c r="K422" s="56" t="s">
        <v>90</v>
      </c>
      <c r="L422" s="57" t="s">
        <v>5</v>
      </c>
    </row>
    <row r="423" spans="8:8" ht="23.4">
      <c r="A423" s="58"/>
      <c r="B423" s="16"/>
      <c r="C423" s="17" t="s">
        <v>91</v>
      </c>
      <c r="D423" s="18">
        <v>2026.0</v>
      </c>
      <c r="E423" s="17" t="s">
        <v>91</v>
      </c>
      <c r="F423" s="18">
        <v>2026.0</v>
      </c>
      <c r="G423" s="17" t="s">
        <v>91</v>
      </c>
      <c r="H423" s="18">
        <v>2026.0</v>
      </c>
      <c r="I423" s="17" t="s">
        <v>91</v>
      </c>
      <c r="J423" s="18">
        <v>2026.0</v>
      </c>
      <c r="K423" s="20"/>
      <c r="L423" s="21"/>
    </row>
    <row r="424" spans="8:8">
      <c r="A424" s="22" t="s">
        <v>1045</v>
      </c>
      <c r="B424" s="67" t="s">
        <v>1046</v>
      </c>
      <c r="C424" s="25">
        <v>12500.0</v>
      </c>
      <c r="D424" s="25">
        <v>58991.188299762405</v>
      </c>
      <c r="E424" s="37">
        <v>0.112</v>
      </c>
      <c r="F424" s="37">
        <v>0.0986637355345541</v>
      </c>
      <c r="G424" s="24">
        <v>1000.0</v>
      </c>
      <c r="H424" s="238">
        <v>4987.264454130514</v>
      </c>
      <c r="I424" s="37">
        <v>0.6474</v>
      </c>
      <c r="J424" s="37">
        <v>0.3906908750853255</v>
      </c>
      <c r="K424" s="37"/>
      <c r="L424" s="33" t="s">
        <v>1047</v>
      </c>
    </row>
    <row r="425" spans="8:8">
      <c r="A425" s="22"/>
      <c r="B425" s="67" t="s">
        <v>1048</v>
      </c>
      <c r="C425" s="25">
        <f>10330.31*(1+E425)</f>
        <v>10846.8255</v>
      </c>
      <c r="D425" s="25">
        <v>36557.4289878826</v>
      </c>
      <c r="E425" s="37">
        <v>0.05</v>
      </c>
      <c r="F425" s="37">
        <v>0.005062275038402397</v>
      </c>
      <c r="G425" s="25">
        <v>10.99</v>
      </c>
      <c r="H425" s="25">
        <v>-666.406690376169</v>
      </c>
      <c r="I425" s="37">
        <v>0.0</v>
      </c>
      <c r="J425" s="37">
        <v>-0.8639058641974473</v>
      </c>
      <c r="K425" s="37"/>
      <c r="L425" s="33" t="s">
        <v>1049</v>
      </c>
    </row>
    <row r="426" spans="8:8" ht="44.4">
      <c r="A426" s="22" t="s">
        <v>1050</v>
      </c>
      <c r="B426" s="24" t="s">
        <v>1051</v>
      </c>
      <c r="C426" s="25" t="s">
        <v>1052</v>
      </c>
      <c r="D426" s="25">
        <v>43234.0</v>
      </c>
      <c r="E426" s="24" t="s">
        <v>1052</v>
      </c>
      <c r="F426" s="37">
        <v>0.5835</v>
      </c>
      <c r="G426" s="24" t="s">
        <v>1052</v>
      </c>
      <c r="H426" s="238">
        <v>8565.0</v>
      </c>
      <c r="I426" s="24" t="s">
        <v>1052</v>
      </c>
      <c r="J426" s="37">
        <v>0.7594</v>
      </c>
      <c r="K426" s="37"/>
      <c r="L426" s="33" t="s">
        <v>1053</v>
      </c>
    </row>
    <row r="427" spans="8:8">
      <c r="A427" s="22"/>
      <c r="B427" s="24" t="s">
        <v>1054</v>
      </c>
      <c r="C427" s="25">
        <v>1960.6715060000001</v>
      </c>
      <c r="D427" s="25">
        <v>10122.912064456936</v>
      </c>
      <c r="E427" s="37">
        <v>0.06</v>
      </c>
      <c r="F427" s="37">
        <v>0.0863993279789752</v>
      </c>
      <c r="G427" s="25">
        <v>167.959902</v>
      </c>
      <c r="H427" s="238">
        <v>732.0</v>
      </c>
      <c r="I427" s="37">
        <v>0.18</v>
      </c>
      <c r="J427" s="37">
        <v>0.7855902511425945</v>
      </c>
      <c r="K427" s="37" t="s">
        <v>997</v>
      </c>
      <c r="L427" s="33" t="s">
        <v>1055</v>
      </c>
    </row>
    <row r="428" spans="8:8">
      <c r="A428" s="22" t="s">
        <v>1056</v>
      </c>
      <c r="B428" s="24" t="s">
        <v>1057</v>
      </c>
      <c r="C428" s="25">
        <v>8660.46090798</v>
      </c>
      <c r="D428" s="25">
        <v>38980.7590123731</v>
      </c>
      <c r="E428" s="37">
        <v>0.26</v>
      </c>
      <c r="F428" s="37">
        <v>0.27745440508119357</v>
      </c>
      <c r="G428" s="25">
        <v>622.4243860390375</v>
      </c>
      <c r="H428" s="238">
        <v>3177.8335718944054</v>
      </c>
      <c r="I428" s="37">
        <v>0.19273257278411338</v>
      </c>
      <c r="J428" s="37">
        <v>0.24859289094850578</v>
      </c>
      <c r="K428" s="37" t="s">
        <v>997</v>
      </c>
      <c r="L428" s="33" t="s">
        <v>1058</v>
      </c>
    </row>
    <row r="429" spans="8:8" ht="44.4">
      <c r="A429" s="22"/>
      <c r="B429" s="24" t="s">
        <v>1059</v>
      </c>
      <c r="C429" s="25">
        <v>5917.11783</v>
      </c>
      <c r="D429" s="25">
        <v>23542.26924417867</v>
      </c>
      <c r="E429" s="37">
        <v>0.3</v>
      </c>
      <c r="F429" s="37">
        <v>0.1814106843782699</v>
      </c>
      <c r="G429" s="25">
        <v>1074.010278</v>
      </c>
      <c r="H429" s="238">
        <v>5056.7377874813865</v>
      </c>
      <c r="I429" s="37">
        <v>0.21</v>
      </c>
      <c r="J429" s="37">
        <v>0.2029692664882201</v>
      </c>
      <c r="K429" s="37"/>
      <c r="L429" s="33" t="s">
        <v>1060</v>
      </c>
    </row>
    <row r="430" spans="8:8" ht="44.4">
      <c r="A430" s="22"/>
      <c r="B430" s="24" t="s">
        <v>1061</v>
      </c>
      <c r="C430" s="25">
        <v>2435.2737819999998</v>
      </c>
      <c r="D430" s="25">
        <v>10930.82336710788</v>
      </c>
      <c r="E430" s="37">
        <v>0.247</v>
      </c>
      <c r="F430" s="37">
        <v>0.25627984974741014</v>
      </c>
      <c r="G430" s="25">
        <v>100.242324</v>
      </c>
      <c r="H430" s="238">
        <v>502.4503199043012</v>
      </c>
      <c r="I430" s="24">
        <v>0.26</v>
      </c>
      <c r="J430" s="37">
        <v>0.49623394152735534</v>
      </c>
      <c r="K430" s="37" t="s">
        <v>997</v>
      </c>
      <c r="L430" s="33" t="s">
        <v>1062</v>
      </c>
    </row>
    <row r="431" spans="8:8">
      <c r="A431" s="22"/>
      <c r="B431" s="24" t="s">
        <v>1063</v>
      </c>
      <c r="C431" s="25">
        <v>3551.3878560000003</v>
      </c>
      <c r="D431" s="25">
        <v>13944.06</v>
      </c>
      <c r="E431" s="37">
        <v>0.23</v>
      </c>
      <c r="F431" s="37">
        <v>0.18</v>
      </c>
      <c r="G431" s="25">
        <v>146.59788</v>
      </c>
      <c r="H431" s="238">
        <v>424.5</v>
      </c>
      <c r="I431" s="24">
        <v>0.2</v>
      </c>
      <c r="J431" s="37">
        <v>0.5</v>
      </c>
      <c r="K431" s="37"/>
      <c r="L431" s="33" t="s">
        <v>1064</v>
      </c>
    </row>
    <row r="432" spans="8:8">
      <c r="A432" s="22"/>
      <c r="B432" s="24" t="s">
        <v>1065</v>
      </c>
      <c r="C432" s="25">
        <f>923*(1+E432)</f>
        <v>1181.44</v>
      </c>
      <c r="D432" s="25">
        <v>5957.607112425007</v>
      </c>
      <c r="E432" s="37">
        <v>0.28</v>
      </c>
      <c r="F432" s="37">
        <v>0.3643257520855596</v>
      </c>
      <c r="G432" s="24">
        <f>200*(1+I432)</f>
        <v>370.0</v>
      </c>
      <c r="H432" s="238">
        <v>302.71018666570484</v>
      </c>
      <c r="I432" s="37">
        <v>0.85</v>
      </c>
      <c r="J432" s="37">
        <v>0.8375227172991746</v>
      </c>
      <c r="K432" s="37"/>
      <c r="L432" s="33" t="s">
        <v>1066</v>
      </c>
    </row>
    <row r="433" spans="8:8">
      <c r="A433" s="22" t="s">
        <v>1067</v>
      </c>
      <c r="B433" s="24" t="s">
        <v>1068</v>
      </c>
      <c r="C433" s="25" t="s">
        <v>6</v>
      </c>
      <c r="D433" s="25">
        <v>48824.0</v>
      </c>
      <c r="E433" s="24" t="s">
        <v>6</v>
      </c>
      <c r="F433" s="37">
        <v>0.12</v>
      </c>
      <c r="G433" s="24" t="s">
        <v>6</v>
      </c>
      <c r="H433" s="238">
        <v>4644.0</v>
      </c>
      <c r="I433" s="24" t="s">
        <v>6</v>
      </c>
      <c r="J433" s="37">
        <v>0.13</v>
      </c>
      <c r="K433" s="37"/>
      <c r="L433" s="33" t="s">
        <v>1069</v>
      </c>
    </row>
    <row r="434" spans="8:8" ht="44.4">
      <c r="A434" s="22"/>
      <c r="B434" s="174" t="s">
        <v>1070</v>
      </c>
      <c r="C434" s="25">
        <f>2752*(1+E434)</f>
        <v>2807.04</v>
      </c>
      <c r="D434" s="25">
        <v>12681.0</v>
      </c>
      <c r="E434" s="26">
        <v>0.02</v>
      </c>
      <c r="F434" s="37">
        <v>0.07</v>
      </c>
      <c r="G434" s="25">
        <f>215*(1+I434)</f>
        <v>223.6</v>
      </c>
      <c r="H434" s="238">
        <v>1009.0</v>
      </c>
      <c r="I434" s="26">
        <v>0.04</v>
      </c>
      <c r="J434" s="37">
        <v>0.09</v>
      </c>
      <c r="K434" s="37"/>
      <c r="L434" s="33" t="s">
        <v>1071</v>
      </c>
    </row>
    <row r="435" spans="8:8">
      <c r="A435" s="22"/>
      <c r="B435" s="24" t="s">
        <v>1072</v>
      </c>
      <c r="C435" s="25" t="s">
        <v>6</v>
      </c>
      <c r="D435" s="25">
        <v>9612.0</v>
      </c>
      <c r="E435" s="24" t="s">
        <v>6</v>
      </c>
      <c r="F435" s="37">
        <v>0.23</v>
      </c>
      <c r="G435" s="24" t="s">
        <v>6</v>
      </c>
      <c r="H435" s="238">
        <v>587.0</v>
      </c>
      <c r="I435" s="24" t="s">
        <v>6</v>
      </c>
      <c r="J435" s="37">
        <v>0.35</v>
      </c>
      <c r="K435" s="37"/>
      <c r="L435" s="33" t="s">
        <v>1073</v>
      </c>
    </row>
    <row r="436" spans="8:8">
      <c r="A436" s="22"/>
      <c r="B436" s="24" t="s">
        <v>1074</v>
      </c>
      <c r="C436" s="25" t="s">
        <v>6</v>
      </c>
      <c r="D436" s="25">
        <v>6508.0</v>
      </c>
      <c r="E436" s="24" t="s">
        <v>6</v>
      </c>
      <c r="F436" s="37">
        <v>0.18</v>
      </c>
      <c r="G436" s="24" t="s">
        <v>6</v>
      </c>
      <c r="H436" s="238">
        <v>823.0</v>
      </c>
      <c r="I436" s="24" t="s">
        <v>6</v>
      </c>
      <c r="J436" s="37">
        <v>0.18</v>
      </c>
      <c r="K436" s="37"/>
      <c r="L436" s="33" t="s">
        <v>1075</v>
      </c>
    </row>
    <row r="437" spans="8:8" ht="44.4">
      <c r="A437" s="22" t="s">
        <v>1076</v>
      </c>
      <c r="B437" s="24" t="s">
        <v>1077</v>
      </c>
      <c r="C437" s="25" t="s">
        <v>6</v>
      </c>
      <c r="D437" s="25">
        <v>16350.0</v>
      </c>
      <c r="E437" s="25" t="s">
        <v>6</v>
      </c>
      <c r="F437" s="37">
        <v>0.27</v>
      </c>
      <c r="G437" s="24" t="s">
        <v>6</v>
      </c>
      <c r="H437" s="238">
        <v>3300.0</v>
      </c>
      <c r="I437" s="25" t="s">
        <v>6</v>
      </c>
      <c r="J437" s="37">
        <v>0.06</v>
      </c>
      <c r="K437" s="37"/>
      <c r="L437" s="33" t="s">
        <v>1078</v>
      </c>
    </row>
    <row r="438" spans="8:8">
      <c r="A438" s="22"/>
      <c r="B438" s="24" t="s">
        <v>1079</v>
      </c>
      <c r="C438" s="25" t="s">
        <v>1052</v>
      </c>
      <c r="D438" s="25">
        <v>35000.0</v>
      </c>
      <c r="E438" s="24" t="s">
        <v>1052</v>
      </c>
      <c r="F438" s="37">
        <v>0.1</v>
      </c>
      <c r="G438" s="24" t="s">
        <v>1052</v>
      </c>
      <c r="H438" s="238">
        <v>6500.0</v>
      </c>
      <c r="I438" s="24" t="s">
        <v>1052</v>
      </c>
      <c r="J438" s="37">
        <v>0.12</v>
      </c>
      <c r="K438" s="37"/>
      <c r="L438" s="33" t="s">
        <v>1080</v>
      </c>
    </row>
    <row r="439" spans="8:8">
      <c r="A439" s="22" t="s">
        <v>1081</v>
      </c>
      <c r="B439" s="24" t="s">
        <v>1082</v>
      </c>
      <c r="C439" s="25">
        <v>3700.0</v>
      </c>
      <c r="D439" s="25">
        <v>14400.573181132491</v>
      </c>
      <c r="E439" s="37">
        <v>0.03207810320781035</v>
      </c>
      <c r="F439" s="37">
        <v>0.04270137837360699</v>
      </c>
      <c r="G439" s="24">
        <v>410.0</v>
      </c>
      <c r="H439" s="238">
        <v>1188.853830242985</v>
      </c>
      <c r="I439" s="37">
        <v>0.22388059701492535</v>
      </c>
      <c r="J439" s="37">
        <v>0.28460738560592413</v>
      </c>
      <c r="K439" s="37"/>
      <c r="L439" s="33" t="s">
        <v>1083</v>
      </c>
    </row>
    <row r="440" spans="8:8" ht="44.4">
      <c r="A440" s="22"/>
      <c r="B440" s="24" t="s">
        <v>1084</v>
      </c>
      <c r="C440" s="25">
        <f>(1+E440)*1895.52</f>
        <v>1952.3856</v>
      </c>
      <c r="D440" s="25">
        <v>7904.0</v>
      </c>
      <c r="E440" s="37">
        <v>0.03</v>
      </c>
      <c r="F440" s="37">
        <v>0.039</v>
      </c>
      <c r="G440" s="25">
        <f>(1+I440)*254.44</f>
        <v>287.51719999999995</v>
      </c>
      <c r="H440" s="238">
        <v>925.0</v>
      </c>
      <c r="I440" s="37">
        <v>0.13</v>
      </c>
      <c r="J440" s="37">
        <v>0.1404</v>
      </c>
      <c r="K440" s="37"/>
      <c r="L440" s="33" t="s">
        <v>1085</v>
      </c>
    </row>
    <row r="441" spans="8:8">
      <c r="A441" s="236"/>
      <c r="B441" s="104"/>
      <c r="C441" s="104"/>
      <c r="D441" s="104"/>
      <c r="E441" s="104"/>
      <c r="F441" s="104"/>
      <c r="G441" s="104"/>
      <c r="H441" s="104"/>
      <c r="I441" s="104"/>
      <c r="J441" s="104"/>
      <c r="K441" s="104"/>
      <c r="L441" s="237"/>
    </row>
    <row r="442" spans="8:8" ht="28.2">
      <c r="A442" s="46" t="s">
        <v>658</v>
      </c>
      <c r="B442" s="47"/>
      <c r="C442" s="47"/>
      <c r="D442" s="47"/>
      <c r="E442" s="47"/>
      <c r="F442" s="47"/>
      <c r="G442" s="47"/>
      <c r="H442" s="47"/>
      <c r="I442" s="47"/>
      <c r="J442" s="47"/>
      <c r="K442" s="47"/>
      <c r="L442" s="48"/>
    </row>
    <row r="443" spans="8:8" ht="59.4" customHeight="1">
      <c r="A443" s="49" t="s">
        <v>0</v>
      </c>
      <c r="B443" s="50" t="s">
        <v>1</v>
      </c>
      <c r="C443" s="51" t="s">
        <v>204</v>
      </c>
      <c r="D443" s="52"/>
      <c r="E443" s="53" t="s">
        <v>2</v>
      </c>
      <c r="F443" s="54"/>
      <c r="G443" s="53" t="s">
        <v>19</v>
      </c>
      <c r="H443" s="54"/>
      <c r="I443" s="53" t="s">
        <v>7</v>
      </c>
      <c r="J443" s="55"/>
      <c r="K443" s="56" t="s">
        <v>90</v>
      </c>
      <c r="L443" s="57" t="s">
        <v>5</v>
      </c>
    </row>
    <row r="444" spans="8:8" ht="23.4">
      <c r="A444" s="58"/>
      <c r="B444" s="16"/>
      <c r="C444" s="17" t="s">
        <v>91</v>
      </c>
      <c r="D444" s="18">
        <v>2026.0</v>
      </c>
      <c r="E444" s="17" t="s">
        <v>91</v>
      </c>
      <c r="F444" s="18">
        <v>2026.0</v>
      </c>
      <c r="G444" s="17" t="s">
        <v>91</v>
      </c>
      <c r="H444" s="18">
        <v>2026.0</v>
      </c>
      <c r="I444" s="17" t="s">
        <v>91</v>
      </c>
      <c r="J444" s="18">
        <v>2026.0</v>
      </c>
      <c r="K444" s="20"/>
      <c r="L444" s="21"/>
    </row>
    <row r="445" spans="8:8">
      <c r="A445" s="239" t="s">
        <v>659</v>
      </c>
      <c r="B445" s="240" t="s">
        <v>660</v>
      </c>
      <c r="C445" s="241" t="s">
        <v>661</v>
      </c>
      <c r="D445" s="242">
        <v>85834.33</v>
      </c>
      <c r="E445" s="243" t="s">
        <v>662</v>
      </c>
      <c r="F445" s="244">
        <v>0.07</v>
      </c>
      <c r="G445" s="241" t="s">
        <v>661</v>
      </c>
      <c r="H445" s="242">
        <v>14131.52</v>
      </c>
      <c r="I445" s="243" t="s">
        <v>635</v>
      </c>
      <c r="J445" s="244">
        <v>0.04</v>
      </c>
      <c r="K445" s="240"/>
      <c r="L445" s="245" t="s">
        <v>708</v>
      </c>
    </row>
    <row r="446" spans="8:8">
      <c r="A446" s="239"/>
      <c r="B446" s="240" t="s">
        <v>663</v>
      </c>
      <c r="C446" s="241" t="s">
        <v>661</v>
      </c>
      <c r="D446" s="242">
        <v>32558.258700000006</v>
      </c>
      <c r="E446" s="243" t="s">
        <v>662</v>
      </c>
      <c r="F446" s="244">
        <v>0.1</v>
      </c>
      <c r="G446" s="241" t="s">
        <v>661</v>
      </c>
      <c r="H446" s="242">
        <v>3229.3173000000006</v>
      </c>
      <c r="I446" s="243" t="s">
        <v>635</v>
      </c>
      <c r="J446" s="244">
        <v>0.1</v>
      </c>
      <c r="K446" s="240" t="s">
        <v>3</v>
      </c>
      <c r="L446" s="245" t="s">
        <v>664</v>
      </c>
    </row>
    <row r="447" spans="8:8">
      <c r="A447" s="239"/>
      <c r="B447" s="240" t="s">
        <v>665</v>
      </c>
      <c r="C447" s="241" t="s">
        <v>661</v>
      </c>
      <c r="D447" s="242">
        <v>14858.640300000003</v>
      </c>
      <c r="E447" s="243" t="s">
        <v>662</v>
      </c>
      <c r="F447" s="244">
        <v>0.05</v>
      </c>
      <c r="G447" s="241" t="s">
        <v>661</v>
      </c>
      <c r="H447" s="242">
        <v>1412.7181300000002</v>
      </c>
      <c r="I447" s="243" t="s">
        <v>635</v>
      </c>
      <c r="J447" s="244">
        <v>0.03</v>
      </c>
      <c r="K447" s="240"/>
      <c r="L447" s="245"/>
    </row>
    <row r="448" spans="8:8" ht="44.4">
      <c r="A448" s="239"/>
      <c r="B448" s="240" t="s">
        <v>666</v>
      </c>
      <c r="C448" s="241" t="s">
        <v>661</v>
      </c>
      <c r="D448" s="242">
        <v>26472.641999999996</v>
      </c>
      <c r="E448" s="243" t="s">
        <v>667</v>
      </c>
      <c r="F448" s="244">
        <v>-0.02</v>
      </c>
      <c r="G448" s="241" t="s">
        <v>661</v>
      </c>
      <c r="H448" s="242">
        <v>1286.0</v>
      </c>
      <c r="I448" s="243" t="s">
        <v>635</v>
      </c>
      <c r="J448" s="244">
        <v>0.0</v>
      </c>
      <c r="K448" s="240"/>
      <c r="L448" s="245"/>
    </row>
    <row r="449" spans="8:8">
      <c r="A449" s="239"/>
      <c r="B449" s="240" t="s">
        <v>668</v>
      </c>
      <c r="C449" s="242">
        <v>788.3014249999999</v>
      </c>
      <c r="D449" s="242">
        <v>1228.2078</v>
      </c>
      <c r="E449" s="244">
        <v>0.15</v>
      </c>
      <c r="F449" s="244">
        <v>0.2</v>
      </c>
      <c r="G449" s="242">
        <v>157.233852</v>
      </c>
      <c r="H449" s="242">
        <v>210.56156</v>
      </c>
      <c r="I449" s="246">
        <v>0.08</v>
      </c>
      <c r="J449" s="246">
        <v>0.1</v>
      </c>
      <c r="K449" s="240"/>
      <c r="L449" s="245"/>
    </row>
    <row r="450" spans="8:8">
      <c r="A450" s="239"/>
      <c r="B450" s="240" t="s">
        <v>669</v>
      </c>
      <c r="C450" s="242">
        <v>545.44512</v>
      </c>
      <c r="D450" s="242">
        <v>933.97612</v>
      </c>
      <c r="E450" s="244">
        <v>0.1</v>
      </c>
      <c r="F450" s="244">
        <v>0.1</v>
      </c>
      <c r="G450" s="242">
        <v>65.6222</v>
      </c>
      <c r="H450" s="242">
        <v>111.39848400000001</v>
      </c>
      <c r="I450" s="244">
        <v>0.0</v>
      </c>
      <c r="J450" s="244">
        <v>0.02</v>
      </c>
      <c r="K450" s="240"/>
      <c r="L450" s="245"/>
    </row>
    <row r="451" spans="8:8">
      <c r="A451" s="239" t="s">
        <v>670</v>
      </c>
      <c r="B451" s="240" t="s">
        <v>671</v>
      </c>
      <c r="C451" s="242">
        <v>2462.494954</v>
      </c>
      <c r="D451" s="242">
        <v>5531.247193</v>
      </c>
      <c r="E451" s="244">
        <v>0.03</v>
      </c>
      <c r="F451" s="244">
        <v>0.07</v>
      </c>
      <c r="G451" s="242">
        <v>203.149578</v>
      </c>
      <c r="H451" s="242">
        <v>358.83519</v>
      </c>
      <c r="I451" s="244">
        <v>0.03</v>
      </c>
      <c r="J451" s="244">
        <v>0.05</v>
      </c>
      <c r="K451" s="240"/>
      <c r="L451" s="245"/>
    </row>
    <row r="452" spans="8:8">
      <c r="A452" s="239"/>
      <c r="B452" s="240" t="s">
        <v>672</v>
      </c>
      <c r="C452" s="242">
        <v>2313.66652</v>
      </c>
      <c r="D452" s="242">
        <v>4745.3021</v>
      </c>
      <c r="E452" s="244">
        <v>0.1</v>
      </c>
      <c r="F452" s="244">
        <v>0.1</v>
      </c>
      <c r="G452" s="242">
        <v>497.07396</v>
      </c>
      <c r="H452" s="242">
        <v>660.8309999999999</v>
      </c>
      <c r="I452" s="244">
        <v>0.2</v>
      </c>
      <c r="J452" s="244">
        <v>0.2</v>
      </c>
      <c r="K452" s="240"/>
      <c r="L452" s="245"/>
    </row>
    <row r="453" spans="8:8">
      <c r="A453" s="239"/>
      <c r="B453" s="240" t="s">
        <v>673</v>
      </c>
      <c r="C453" s="242">
        <v>6640.74936</v>
      </c>
      <c r="D453" s="242">
        <v>16297.031628</v>
      </c>
      <c r="E453" s="244">
        <v>0.08</v>
      </c>
      <c r="F453" s="244">
        <v>0.08</v>
      </c>
      <c r="G453" s="242">
        <v>471.32337</v>
      </c>
      <c r="H453" s="242">
        <v>1026.278055</v>
      </c>
      <c r="I453" s="244">
        <v>0.45</v>
      </c>
      <c r="J453" s="244">
        <v>0.15</v>
      </c>
      <c r="K453" s="240"/>
      <c r="L453" s="245"/>
    </row>
    <row r="454" spans="8:8" ht="44.4">
      <c r="A454" s="239"/>
      <c r="B454" s="240" t="s">
        <v>674</v>
      </c>
      <c r="C454" s="242">
        <v>12144.361215</v>
      </c>
      <c r="D454" s="242">
        <v>22706.933865</v>
      </c>
      <c r="E454" s="244">
        <v>0.05</v>
      </c>
      <c r="F454" s="244">
        <v>0.05</v>
      </c>
      <c r="G454" s="242">
        <v>1659.442575</v>
      </c>
      <c r="H454" s="242">
        <v>2274.290445</v>
      </c>
      <c r="I454" s="244">
        <v>0.05</v>
      </c>
      <c r="J454" s="244">
        <v>0.05</v>
      </c>
      <c r="K454" s="240"/>
      <c r="L454" s="245" t="s">
        <v>675</v>
      </c>
    </row>
    <row r="455" spans="8:8">
      <c r="A455" s="239" t="s">
        <v>676</v>
      </c>
      <c r="B455" s="240" t="s">
        <v>677</v>
      </c>
      <c r="C455" s="242">
        <v>2246.66278</v>
      </c>
      <c r="D455" s="242">
        <v>5128.945998</v>
      </c>
      <c r="E455" s="244">
        <v>0.03</v>
      </c>
      <c r="F455" s="244">
        <v>0.06</v>
      </c>
      <c r="G455" s="242">
        <v>222.58896000000001</v>
      </c>
      <c r="H455" s="242">
        <v>597.8394599999999</v>
      </c>
      <c r="I455" s="244">
        <v>0.2</v>
      </c>
      <c r="J455" s="244">
        <v>0.15</v>
      </c>
      <c r="K455" s="240"/>
      <c r="L455" s="245"/>
    </row>
    <row r="456" spans="8:8">
      <c r="A456" s="239"/>
      <c r="B456" s="240" t="s">
        <v>678</v>
      </c>
      <c r="C456" s="242">
        <v>1940.452501</v>
      </c>
      <c r="D456" s="242">
        <v>4800.109194000001</v>
      </c>
      <c r="E456" s="244">
        <v>0.01</v>
      </c>
      <c r="F456" s="244">
        <v>0.06</v>
      </c>
      <c r="G456" s="242">
        <v>162.31835999999998</v>
      </c>
      <c r="H456" s="242">
        <v>455.650048</v>
      </c>
      <c r="I456" s="244">
        <v>0.15</v>
      </c>
      <c r="J456" s="244">
        <v>0.12</v>
      </c>
      <c r="K456" s="240"/>
      <c r="L456" s="245"/>
    </row>
    <row r="457" spans="8:8">
      <c r="A457" s="239"/>
      <c r="B457" s="240" t="s">
        <v>679</v>
      </c>
      <c r="C457" s="242">
        <v>5825.833199999999</v>
      </c>
      <c r="D457" s="242">
        <v>12044.439000000002</v>
      </c>
      <c r="E457" s="244">
        <v>0.1</v>
      </c>
      <c r="F457" s="244">
        <v>0.1</v>
      </c>
      <c r="G457" s="242">
        <v>555.95774</v>
      </c>
      <c r="H457" s="242">
        <v>867.8032749999999</v>
      </c>
      <c r="I457" s="244">
        <v>0.13</v>
      </c>
      <c r="J457" s="244">
        <v>0.13</v>
      </c>
      <c r="K457" s="240"/>
      <c r="L457" s="245"/>
    </row>
    <row r="458" spans="8:8">
      <c r="A458" s="239" t="s">
        <v>680</v>
      </c>
      <c r="B458" s="240" t="s">
        <v>681</v>
      </c>
      <c r="C458" s="242">
        <v>12660.864399999999</v>
      </c>
      <c r="D458" s="242">
        <v>25479.727602</v>
      </c>
      <c r="E458" s="244">
        <v>0.0</v>
      </c>
      <c r="F458" s="244">
        <v>0.02</v>
      </c>
      <c r="G458" s="242">
        <v>1503.53658</v>
      </c>
      <c r="H458" s="242">
        <v>3206.6702</v>
      </c>
      <c r="I458" s="244">
        <v>-0.1</v>
      </c>
      <c r="J458" s="244">
        <v>0.0</v>
      </c>
      <c r="K458" s="240"/>
      <c r="L458" s="245"/>
    </row>
    <row r="459" spans="8:8">
      <c r="A459" s="239"/>
      <c r="B459" s="240" t="s">
        <v>682</v>
      </c>
      <c r="C459" s="242" t="s">
        <v>661</v>
      </c>
      <c r="D459" s="242">
        <v>32233.481280000004</v>
      </c>
      <c r="E459" s="244" t="s">
        <v>635</v>
      </c>
      <c r="F459" s="244">
        <v>0.04</v>
      </c>
      <c r="G459" s="242" t="s">
        <v>661</v>
      </c>
      <c r="H459" s="242">
        <v>5825.262</v>
      </c>
      <c r="I459" s="244" t="s">
        <v>635</v>
      </c>
      <c r="J459" s="244">
        <v>0.0</v>
      </c>
      <c r="K459" s="240"/>
      <c r="L459" s="245" t="s">
        <v>683</v>
      </c>
    </row>
    <row r="460" spans="8:8">
      <c r="A460" s="239"/>
      <c r="B460" s="240" t="s">
        <v>684</v>
      </c>
      <c r="C460" s="242">
        <v>2571.4795700000004</v>
      </c>
      <c r="D460" s="242">
        <v>5184.340092</v>
      </c>
      <c r="E460" s="244">
        <v>0.1</v>
      </c>
      <c r="F460" s="244">
        <v>0.08</v>
      </c>
      <c r="G460" s="242">
        <v>387.85656</v>
      </c>
      <c r="H460" s="242">
        <v>651.044081</v>
      </c>
      <c r="I460" s="244">
        <v>0.05</v>
      </c>
      <c r="J460" s="244">
        <v>0.01</v>
      </c>
      <c r="K460" s="240"/>
      <c r="L460" s="245"/>
    </row>
    <row r="461" spans="8:8" ht="44.4">
      <c r="A461" s="239"/>
      <c r="B461" s="240" t="s">
        <v>685</v>
      </c>
      <c r="C461" s="242">
        <v>2621.523204</v>
      </c>
      <c r="D461" s="242">
        <v>5282.970768</v>
      </c>
      <c r="E461" s="244">
        <v>0.08</v>
      </c>
      <c r="F461" s="244">
        <v>0.08</v>
      </c>
      <c r="G461" s="242">
        <v>214.67855</v>
      </c>
      <c r="H461" s="242">
        <v>380.7439549999999</v>
      </c>
      <c r="I461" s="244">
        <v>0.15</v>
      </c>
      <c r="J461" s="244">
        <v>0.15</v>
      </c>
      <c r="K461" s="240"/>
      <c r="L461" s="245" t="s">
        <v>686</v>
      </c>
    </row>
    <row r="462" spans="8:8">
      <c r="A462" s="239" t="s">
        <v>687</v>
      </c>
      <c r="B462" s="240" t="s">
        <v>688</v>
      </c>
      <c r="C462" s="242">
        <v>3193.0517500000005</v>
      </c>
      <c r="D462" s="242">
        <v>6062.65128</v>
      </c>
      <c r="E462" s="244">
        <v>0.25</v>
      </c>
      <c r="F462" s="244">
        <v>0.2</v>
      </c>
      <c r="G462" s="242">
        <v>351.82719000000003</v>
      </c>
      <c r="H462" s="242">
        <v>624.1513199999999</v>
      </c>
      <c r="I462" s="244">
        <v>0.3</v>
      </c>
      <c r="J462" s="244">
        <v>0.3</v>
      </c>
      <c r="K462" s="240"/>
      <c r="L462" s="245" t="s">
        <v>689</v>
      </c>
    </row>
    <row r="463" spans="8:8">
      <c r="A463" s="239"/>
      <c r="B463" s="240" t="s">
        <v>690</v>
      </c>
      <c r="C463" s="242">
        <v>4847.328225</v>
      </c>
      <c r="D463" s="242">
        <v>9825.7555</v>
      </c>
      <c r="E463" s="244">
        <v>0.35</v>
      </c>
      <c r="F463" s="244">
        <v>0.25</v>
      </c>
      <c r="G463" s="242">
        <v>565.51856</v>
      </c>
      <c r="H463" s="242">
        <v>912.0233410000001</v>
      </c>
      <c r="I463" s="244">
        <v>0.45</v>
      </c>
      <c r="J463" s="244">
        <v>0.39</v>
      </c>
      <c r="K463" s="240"/>
      <c r="L463" s="245" t="s">
        <v>691</v>
      </c>
    </row>
    <row r="464" spans="8:8">
      <c r="A464" s="239"/>
      <c r="B464" s="240" t="s">
        <v>692</v>
      </c>
      <c r="C464" s="242">
        <v>3281.8199400000008</v>
      </c>
      <c r="D464" s="242">
        <v>7048.298290000001</v>
      </c>
      <c r="E464" s="244">
        <v>0.05</v>
      </c>
      <c r="F464" s="244">
        <v>0.1</v>
      </c>
      <c r="G464" s="242">
        <v>422.65912000000003</v>
      </c>
      <c r="H464" s="242">
        <v>637.5197999999999</v>
      </c>
      <c r="I464" s="244">
        <v>0.3</v>
      </c>
      <c r="J464" s="244">
        <v>0.2</v>
      </c>
      <c r="K464" s="240"/>
      <c r="L464" s="245"/>
    </row>
    <row r="465" spans="8:8">
      <c r="A465" s="22" t="s">
        <v>693</v>
      </c>
      <c r="B465" s="240" t="s">
        <v>694</v>
      </c>
      <c r="C465" s="247" t="s">
        <v>635</v>
      </c>
      <c r="D465" s="247">
        <v>6857.0</v>
      </c>
      <c r="E465" s="247" t="s">
        <v>635</v>
      </c>
      <c r="F465" s="248">
        <v>0.3163</v>
      </c>
      <c r="G465" s="247" t="s">
        <v>635</v>
      </c>
      <c r="H465" s="249">
        <v>1635.0</v>
      </c>
      <c r="I465" s="247" t="s">
        <v>635</v>
      </c>
      <c r="J465" s="248">
        <v>0.353</v>
      </c>
      <c r="K465" s="240"/>
      <c r="L465" s="245" t="s">
        <v>695</v>
      </c>
    </row>
    <row r="466" spans="8:8">
      <c r="A466" s="22"/>
      <c r="B466" s="240" t="s">
        <v>696</v>
      </c>
      <c r="C466" s="247" t="s">
        <v>635</v>
      </c>
      <c r="D466" s="247">
        <v>10710.0</v>
      </c>
      <c r="E466" s="247" t="s">
        <v>635</v>
      </c>
      <c r="F466" s="248">
        <v>0.2699</v>
      </c>
      <c r="G466" s="247" t="s">
        <v>635</v>
      </c>
      <c r="H466" s="249">
        <v>1326.0</v>
      </c>
      <c r="I466" s="247" t="s">
        <v>635</v>
      </c>
      <c r="J466" s="248">
        <v>0.367</v>
      </c>
      <c r="K466" s="240"/>
      <c r="L466" s="245"/>
    </row>
    <row r="467" spans="8:8">
      <c r="A467" s="22"/>
      <c r="B467" s="240" t="s">
        <v>697</v>
      </c>
      <c r="C467" s="247" t="s">
        <v>635</v>
      </c>
      <c r="D467" s="247">
        <v>6205.0</v>
      </c>
      <c r="E467" s="247" t="s">
        <v>635</v>
      </c>
      <c r="F467" s="248">
        <v>0.12</v>
      </c>
      <c r="G467" s="247" t="s">
        <v>635</v>
      </c>
      <c r="H467" s="249">
        <v>2096.0</v>
      </c>
      <c r="I467" s="247" t="s">
        <v>635</v>
      </c>
      <c r="J467" s="248">
        <v>0.09</v>
      </c>
      <c r="K467" s="240"/>
      <c r="L467" s="245" t="s">
        <v>698</v>
      </c>
    </row>
    <row r="468" spans="8:8">
      <c r="A468" s="22"/>
      <c r="B468" s="240" t="s">
        <v>699</v>
      </c>
      <c r="C468" s="250">
        <v>1266.5</v>
      </c>
      <c r="D468" s="250">
        <v>5706.0</v>
      </c>
      <c r="E468" s="248">
        <v>0.7</v>
      </c>
      <c r="F468" s="248">
        <v>0.67</v>
      </c>
      <c r="G468" s="250">
        <v>97.0</v>
      </c>
      <c r="H468" s="250">
        <v>372.0</v>
      </c>
      <c r="I468" s="248">
        <v>1.15555555555556</v>
      </c>
      <c r="J468" s="248">
        <v>0.92</v>
      </c>
      <c r="K468" s="240"/>
      <c r="L468" s="245" t="s">
        <v>700</v>
      </c>
    </row>
    <row r="469" spans="8:8">
      <c r="A469" s="22"/>
      <c r="B469" s="240" t="s">
        <v>701</v>
      </c>
      <c r="C469" s="251">
        <v>3242.7600282900003</v>
      </c>
      <c r="D469" s="242">
        <v>11286.0</v>
      </c>
      <c r="E469" s="244">
        <v>0.08</v>
      </c>
      <c r="F469" s="244">
        <v>0.07</v>
      </c>
      <c r="G469" s="251">
        <v>432.7234121884</v>
      </c>
      <c r="H469" s="242">
        <v>1558.0</v>
      </c>
      <c r="I469" s="244">
        <v>0.06</v>
      </c>
      <c r="J469" s="244">
        <v>0.04</v>
      </c>
      <c r="K469" s="240"/>
      <c r="L469" s="245"/>
    </row>
    <row r="470" spans="8:8">
      <c r="A470" s="22"/>
      <c r="B470" s="240" t="s">
        <v>702</v>
      </c>
      <c r="C470" s="251">
        <v>1565.3874653340001</v>
      </c>
      <c r="D470" s="247">
        <v>6027.0</v>
      </c>
      <c r="E470" s="248">
        <v>0.1</v>
      </c>
      <c r="F470" s="248">
        <v>0.1</v>
      </c>
      <c r="G470" s="251">
        <v>272.900356425</v>
      </c>
      <c r="H470" s="249">
        <v>591.0</v>
      </c>
      <c r="I470" s="248">
        <v>0.25</v>
      </c>
      <c r="J470" s="248">
        <v>0.25</v>
      </c>
      <c r="K470" s="240"/>
      <c r="L470" s="245"/>
    </row>
    <row r="471" spans="8:8">
      <c r="A471" s="22"/>
      <c r="B471" s="240" t="s">
        <v>703</v>
      </c>
      <c r="C471" s="251">
        <v>2040.9394443054998</v>
      </c>
      <c r="D471" s="247">
        <v>7027.0</v>
      </c>
      <c r="E471" s="248">
        <v>0.15</v>
      </c>
      <c r="F471" s="248">
        <v>0.112747426761679</v>
      </c>
      <c r="G471" s="251">
        <v>75.3661520915</v>
      </c>
      <c r="H471" s="249">
        <v>386.0</v>
      </c>
      <c r="I471" s="248">
        <v>0.55</v>
      </c>
      <c r="J471" s="248">
        <v>0.531746031746032</v>
      </c>
      <c r="K471" s="240"/>
      <c r="L471" s="245"/>
    </row>
    <row r="472" spans="8:8">
      <c r="A472" s="22"/>
      <c r="B472" s="240" t="s">
        <v>704</v>
      </c>
      <c r="C472" s="251">
        <v>1175.0374752896003</v>
      </c>
      <c r="D472" s="247">
        <v>4946.0</v>
      </c>
      <c r="E472" s="248">
        <v>0.28</v>
      </c>
      <c r="F472" s="248">
        <v>0.282676348547718</v>
      </c>
      <c r="G472" s="251">
        <v>51.5688773644</v>
      </c>
      <c r="H472" s="249">
        <v>598.0</v>
      </c>
      <c r="I472" s="248">
        <v>0.31</v>
      </c>
      <c r="J472" s="248">
        <v>0.305676855895197</v>
      </c>
      <c r="K472" s="240"/>
      <c r="L472" s="245"/>
    </row>
    <row r="473" spans="8:8">
      <c r="A473" s="22" t="s">
        <v>705</v>
      </c>
      <c r="B473" s="240" t="s">
        <v>706</v>
      </c>
      <c r="C473" s="251">
        <v>561.1504350408001</v>
      </c>
      <c r="D473" s="247">
        <v>2102.0</v>
      </c>
      <c r="E473" s="248">
        <v>0.14</v>
      </c>
      <c r="F473" s="248">
        <v>0.143634385201306</v>
      </c>
      <c r="G473" s="251">
        <v>257.05667307</v>
      </c>
      <c r="H473" s="249">
        <v>1045.0</v>
      </c>
      <c r="I473" s="248">
        <v>0.15</v>
      </c>
      <c r="J473" s="248">
        <v>0.153421633554084</v>
      </c>
      <c r="K473" s="240"/>
      <c r="L473" s="245"/>
    </row>
    <row r="474" spans="8:8">
      <c r="A474" s="22"/>
      <c r="B474" s="240" t="s">
        <v>707</v>
      </c>
      <c r="C474" s="251">
        <v>1796.4686334430003</v>
      </c>
      <c r="D474" s="247">
        <v>7792.0</v>
      </c>
      <c r="E474" s="248">
        <v>0.1</v>
      </c>
      <c r="F474" s="248">
        <v>0.206752361777915</v>
      </c>
      <c r="G474" s="251">
        <v>343.624658366</v>
      </c>
      <c r="H474" s="249">
        <v>1285.0</v>
      </c>
      <c r="I474" s="248">
        <v>0.1</v>
      </c>
      <c r="J474" s="248">
        <v>0.226145038167939</v>
      </c>
      <c r="K474" s="240"/>
      <c r="L474" s="245"/>
    </row>
    <row r="475" spans="8:8">
      <c r="A475" s="236"/>
      <c r="B475" s="104"/>
      <c r="C475" s="104"/>
      <c r="D475" s="104"/>
      <c r="E475" s="104"/>
      <c r="F475" s="104"/>
      <c r="G475" s="104"/>
      <c r="H475" s="104"/>
      <c r="I475" s="104"/>
      <c r="J475" s="104"/>
      <c r="K475" s="104"/>
      <c r="L475" s="237"/>
    </row>
    <row r="476" spans="8:8" ht="28.2">
      <c r="A476" s="46" t="s">
        <v>622</v>
      </c>
      <c r="B476" s="47"/>
      <c r="C476" s="47"/>
      <c r="D476" s="47"/>
      <c r="E476" s="47"/>
      <c r="F476" s="47"/>
      <c r="G476" s="47"/>
      <c r="H476" s="47"/>
      <c r="I476" s="47"/>
      <c r="J476" s="47"/>
      <c r="K476" s="47"/>
      <c r="L476" s="48"/>
    </row>
    <row r="477" spans="8:8" ht="71.4" customHeight="1">
      <c r="A477" s="49" t="s">
        <v>0</v>
      </c>
      <c r="B477" s="50" t="s">
        <v>1</v>
      </c>
      <c r="C477" s="51" t="s">
        <v>204</v>
      </c>
      <c r="D477" s="52"/>
      <c r="E477" s="53" t="s">
        <v>2</v>
      </c>
      <c r="F477" s="54"/>
      <c r="G477" s="53" t="s">
        <v>19</v>
      </c>
      <c r="H477" s="54"/>
      <c r="I477" s="53" t="s">
        <v>7</v>
      </c>
      <c r="J477" s="55"/>
      <c r="K477" s="56" t="s">
        <v>90</v>
      </c>
      <c r="L477" s="57" t="s">
        <v>5</v>
      </c>
    </row>
    <row r="478" spans="8:8" ht="23.4">
      <c r="A478" s="58"/>
      <c r="B478" s="16"/>
      <c r="C478" s="17" t="s">
        <v>91</v>
      </c>
      <c r="D478" s="18">
        <v>2026.0</v>
      </c>
      <c r="E478" s="17" t="s">
        <v>91</v>
      </c>
      <c r="F478" s="18">
        <v>2026.0</v>
      </c>
      <c r="G478" s="17" t="s">
        <v>91</v>
      </c>
      <c r="H478" s="18">
        <v>2026.0</v>
      </c>
      <c r="I478" s="17" t="s">
        <v>91</v>
      </c>
      <c r="J478" s="18">
        <v>2026.0</v>
      </c>
      <c r="K478" s="20"/>
      <c r="L478" s="21"/>
    </row>
    <row r="479" spans="8:8">
      <c r="A479" s="22" t="s">
        <v>592</v>
      </c>
      <c r="B479" s="59" t="s">
        <v>593</v>
      </c>
      <c r="C479" s="133">
        <v>40046.815089902</v>
      </c>
      <c r="D479" s="133">
        <v>178948.5531855496</v>
      </c>
      <c r="E479" s="26">
        <v>0.01</v>
      </c>
      <c r="F479" s="26">
        <v>0.040070991704932</v>
      </c>
      <c r="G479" s="133">
        <v>18369.9331787466</v>
      </c>
      <c r="H479" s="133">
        <v>83267.8929648482</v>
      </c>
      <c r="I479" s="26">
        <v>-0.01</v>
      </c>
      <c r="J479" s="26">
        <v>0.011513910235246394</v>
      </c>
      <c r="K479" s="62"/>
      <c r="L479" s="189" t="s">
        <v>594</v>
      </c>
    </row>
    <row r="480" spans="8:8">
      <c r="A480" s="22"/>
      <c r="B480" s="59" t="s">
        <v>595</v>
      </c>
      <c r="C480" s="133">
        <v>8351.468307910001</v>
      </c>
      <c r="D480" s="133">
        <v>53313.59151023401</v>
      </c>
      <c r="E480" s="26">
        <v>0.3</v>
      </c>
      <c r="F480" s="26">
        <v>0.3154589648740358</v>
      </c>
      <c r="G480" s="133">
        <v>2505.440492373</v>
      </c>
      <c r="H480" s="133">
        <v>17869.15811571082</v>
      </c>
      <c r="I480" s="26">
        <v>11.07222058515875</v>
      </c>
      <c r="J480" s="26">
        <v>0.9956047399109613</v>
      </c>
      <c r="K480" s="62"/>
      <c r="L480" s="189"/>
    </row>
    <row r="481" spans="8:8">
      <c r="A481" s="22"/>
      <c r="B481" s="135" t="s">
        <v>596</v>
      </c>
      <c r="C481" s="133">
        <v>6325.1250736765</v>
      </c>
      <c r="D481" s="133">
        <v>34527.2134326915</v>
      </c>
      <c r="E481" s="26">
        <v>-0.15</v>
      </c>
      <c r="F481" s="26">
        <v>-0.10824464938728184</v>
      </c>
      <c r="G481" s="133">
        <v>1485.9955307200003</v>
      </c>
      <c r="H481" s="133">
        <v>10048.617429303</v>
      </c>
      <c r="I481" s="26">
        <v>-0.2</v>
      </c>
      <c r="J481" s="26">
        <v>-0.17945882781889255</v>
      </c>
      <c r="K481" s="62"/>
      <c r="L481" s="189"/>
    </row>
    <row r="482" spans="8:8">
      <c r="A482" s="22"/>
      <c r="B482" s="135" t="s">
        <v>597</v>
      </c>
      <c r="C482" s="133">
        <v>6391.410713235</v>
      </c>
      <c r="D482" s="133">
        <v>23693.862570115</v>
      </c>
      <c r="E482" s="26">
        <v>-0.1</v>
      </c>
      <c r="F482" s="26">
        <v>-0.07917093133756004</v>
      </c>
      <c r="G482" s="133">
        <v>2456.101842464</v>
      </c>
      <c r="H482" s="133">
        <v>9875.463357482</v>
      </c>
      <c r="I482" s="26">
        <v>-0.2</v>
      </c>
      <c r="J482" s="26">
        <v>-0.08819830200394396</v>
      </c>
      <c r="K482" s="62"/>
      <c r="L482" s="189"/>
    </row>
    <row r="483" spans="8:8">
      <c r="A483" s="22"/>
      <c r="B483" s="135" t="s">
        <v>598</v>
      </c>
      <c r="C483" s="133">
        <v>3729.44943241</v>
      </c>
      <c r="D483" s="133">
        <v>16551.362931125503</v>
      </c>
      <c r="E483" s="26">
        <v>0.0</v>
      </c>
      <c r="F483" s="26">
        <v>-0.1384460312126583</v>
      </c>
      <c r="G483" s="133">
        <v>777.2043875200002</v>
      </c>
      <c r="H483" s="133">
        <v>2760.13785006445</v>
      </c>
      <c r="I483" s="26">
        <v>0.1</v>
      </c>
      <c r="J483" s="26">
        <v>0.2511623405356216</v>
      </c>
      <c r="K483" s="62"/>
      <c r="L483" s="189"/>
    </row>
    <row r="484" spans="8:8">
      <c r="A484" s="22"/>
      <c r="B484" s="135" t="s">
        <v>599</v>
      </c>
      <c r="C484" s="133">
        <v>4023.7224622</v>
      </c>
      <c r="D484" s="133">
        <v>17164.447216063498</v>
      </c>
      <c r="E484" s="26">
        <v>-0.15</v>
      </c>
      <c r="F484" s="26">
        <v>-0.08854805207563121</v>
      </c>
      <c r="G484" s="133">
        <v>1065.39347676</v>
      </c>
      <c r="H484" s="133">
        <v>3697.3579635874303</v>
      </c>
      <c r="I484" s="26">
        <v>-0.2</v>
      </c>
      <c r="J484" s="26">
        <v>0.04177089316376281</v>
      </c>
      <c r="K484" s="62"/>
      <c r="L484" s="189"/>
    </row>
    <row r="485" spans="8:8">
      <c r="A485" s="22"/>
      <c r="B485" s="135" t="s">
        <v>600</v>
      </c>
      <c r="C485" s="133">
        <v>1944.4731790785004</v>
      </c>
      <c r="D485" s="133">
        <v>10015.0213066061</v>
      </c>
      <c r="E485" s="26">
        <v>0.05</v>
      </c>
      <c r="F485" s="26">
        <v>-0.016410638207575712</v>
      </c>
      <c r="G485" s="133">
        <v>613.8922340460001</v>
      </c>
      <c r="H485" s="133">
        <v>2486.288842723</v>
      </c>
      <c r="I485" s="26">
        <v>0.05</v>
      </c>
      <c r="J485" s="26">
        <v>-0.045090541902518266</v>
      </c>
      <c r="K485" s="62"/>
      <c r="L485" s="189"/>
    </row>
    <row r="486" spans="8:8">
      <c r="A486" s="22"/>
      <c r="B486" s="135" t="s">
        <v>601</v>
      </c>
      <c r="C486" s="133">
        <v>1168.6147394355</v>
      </c>
      <c r="D486" s="133">
        <v>6399.7393312765</v>
      </c>
      <c r="E486" s="26">
        <v>0.05</v>
      </c>
      <c r="F486" s="26">
        <v>0.06330448664418786</v>
      </c>
      <c r="G486" s="133">
        <v>325.8009404676</v>
      </c>
      <c r="H486" s="133">
        <v>2101.3847157866003</v>
      </c>
      <c r="I486" s="26">
        <v>0.08</v>
      </c>
      <c r="J486" s="26">
        <v>0.05828801263722183</v>
      </c>
      <c r="K486" s="62"/>
      <c r="L486" s="189"/>
    </row>
    <row r="487" spans="8:8">
      <c r="A487" s="22"/>
      <c r="B487" s="135" t="s">
        <v>602</v>
      </c>
      <c r="C487" s="133">
        <v>1125.0763853699998</v>
      </c>
      <c r="D487" s="133">
        <v>4410.3304596054995</v>
      </c>
      <c r="E487" s="26">
        <v>0.0</v>
      </c>
      <c r="F487" s="26">
        <v>-0.0020112272971656298</v>
      </c>
      <c r="G487" s="133">
        <v>97.170181</v>
      </c>
      <c r="H487" s="133">
        <v>238.521840209725</v>
      </c>
      <c r="I487" s="26">
        <v>0.0</v>
      </c>
      <c r="J487" s="26">
        <v>0.06957281571284923</v>
      </c>
      <c r="K487" s="62"/>
      <c r="L487" s="189"/>
    </row>
    <row r="488" spans="8:8">
      <c r="A488" s="22"/>
      <c r="B488" s="135" t="s">
        <v>603</v>
      </c>
      <c r="C488" s="133">
        <v>592.75590077</v>
      </c>
      <c r="D488" s="133">
        <v>3256.541040926</v>
      </c>
      <c r="E488" s="26">
        <v>0.1</v>
      </c>
      <c r="F488" s="26">
        <v>0.07201994209227891</v>
      </c>
      <c r="G488" s="133">
        <v>29.637795038500002</v>
      </c>
      <c r="H488" s="133">
        <v>570.2657028236999</v>
      </c>
      <c r="I488" s="26">
        <v>-1.3491583227902275</v>
      </c>
      <c r="J488" s="26">
        <v>0.4049828404523854</v>
      </c>
      <c r="K488" s="62"/>
      <c r="L488" s="189"/>
    </row>
    <row r="489" spans="8:8">
      <c r="A489" s="22"/>
      <c r="B489" s="135" t="s">
        <v>604</v>
      </c>
      <c r="C489" s="133">
        <v>664.1781480216</v>
      </c>
      <c r="D489" s="133">
        <v>2961.6738325484002</v>
      </c>
      <c r="E489" s="26">
        <v>0.02</v>
      </c>
      <c r="F489" s="26">
        <v>0.014802687142194682</v>
      </c>
      <c r="G489" s="133">
        <v>64.48343321</v>
      </c>
      <c r="H489" s="133">
        <v>329.3072582378399</v>
      </c>
      <c r="I489" s="26">
        <v>0.0</v>
      </c>
      <c r="J489" s="26">
        <v>-0.07076867625049543</v>
      </c>
      <c r="K489" s="62"/>
      <c r="L489" s="189"/>
    </row>
    <row r="490" spans="8:8">
      <c r="A490" s="252" t="s">
        <v>605</v>
      </c>
      <c r="B490" s="135" t="s">
        <v>606</v>
      </c>
      <c r="C490" s="133">
        <v>7468.0</v>
      </c>
      <c r="D490" s="133">
        <v>30991.0</v>
      </c>
      <c r="E490" s="26">
        <v>0.08</v>
      </c>
      <c r="F490" s="26">
        <v>0.0733536562572314</v>
      </c>
      <c r="G490" s="133">
        <v>1900.0</v>
      </c>
      <c r="H490" s="133">
        <v>7878.0</v>
      </c>
      <c r="I490" s="26">
        <v>0.11</v>
      </c>
      <c r="J490" s="26">
        <v>0.119346800812514</v>
      </c>
      <c r="K490" s="62"/>
      <c r="L490" s="193"/>
    </row>
    <row r="491" spans="8:8">
      <c r="A491" s="253"/>
      <c r="B491" s="135" t="s">
        <v>607</v>
      </c>
      <c r="C491" s="133">
        <v>1237.0</v>
      </c>
      <c r="D491" s="133">
        <v>4813.0</v>
      </c>
      <c r="E491" s="26">
        <v>0.2</v>
      </c>
      <c r="F491" s="26">
        <v>0.146018315787963</v>
      </c>
      <c r="G491" s="133">
        <v>121.0</v>
      </c>
      <c r="H491" s="133">
        <v>682.0</v>
      </c>
      <c r="I491" s="26">
        <v>0.6</v>
      </c>
      <c r="J491" s="26">
        <v>0.269760526357398</v>
      </c>
      <c r="K491" s="62"/>
      <c r="L491" s="193"/>
    </row>
    <row r="492" spans="8:8">
      <c r="A492" s="253"/>
      <c r="B492" s="135" t="s">
        <v>608</v>
      </c>
      <c r="C492" s="133">
        <v>526.0</v>
      </c>
      <c r="D492" s="133">
        <v>2901.0</v>
      </c>
      <c r="E492" s="26">
        <v>0.08</v>
      </c>
      <c r="F492" s="26">
        <v>0.128045732312479</v>
      </c>
      <c r="G492" s="133">
        <v>38.0</v>
      </c>
      <c r="H492" s="133">
        <v>493.0</v>
      </c>
      <c r="I492" s="26">
        <v>2.0</v>
      </c>
      <c r="J492" s="26">
        <v>0.419713092502021</v>
      </c>
      <c r="K492" s="62"/>
      <c r="L492" s="193"/>
    </row>
    <row r="493" spans="8:8">
      <c r="A493" s="253"/>
      <c r="B493" s="135" t="s">
        <v>609</v>
      </c>
      <c r="C493" s="133">
        <v>824.0</v>
      </c>
      <c r="D493" s="133">
        <v>4025.0</v>
      </c>
      <c r="E493" s="26">
        <v>0.1</v>
      </c>
      <c r="F493" s="26">
        <v>0.167100789057479</v>
      </c>
      <c r="G493" s="133">
        <v>138.0</v>
      </c>
      <c r="H493" s="133">
        <v>695.0</v>
      </c>
      <c r="I493" s="26">
        <v>0.2</v>
      </c>
      <c r="J493" s="26">
        <v>0.219585177316084</v>
      </c>
      <c r="K493" s="62"/>
      <c r="L493" s="193"/>
    </row>
    <row r="494" spans="8:8">
      <c r="A494" s="253"/>
      <c r="B494" s="135" t="s">
        <v>610</v>
      </c>
      <c r="C494" s="133">
        <v>4721.0</v>
      </c>
      <c r="D494" s="133">
        <v>19217.0</v>
      </c>
      <c r="E494" s="26">
        <v>0.15</v>
      </c>
      <c r="F494" s="26">
        <v>0.148742137741388</v>
      </c>
      <c r="G494" s="133">
        <v>507.0</v>
      </c>
      <c r="H494" s="133">
        <v>1858.0</v>
      </c>
      <c r="I494" s="26">
        <v>0.18</v>
      </c>
      <c r="J494" s="26">
        <v>0.203288140141584</v>
      </c>
      <c r="K494" s="62"/>
      <c r="L494" s="193"/>
    </row>
    <row r="495" spans="8:8">
      <c r="A495" s="254"/>
      <c r="B495" s="135" t="s">
        <v>611</v>
      </c>
      <c r="C495" s="133">
        <v>818.0</v>
      </c>
      <c r="D495" s="133">
        <v>3333.0</v>
      </c>
      <c r="E495" s="26">
        <v>0.15</v>
      </c>
      <c r="F495" s="26">
        <v>0.136089006929242</v>
      </c>
      <c r="G495" s="133">
        <v>67.0</v>
      </c>
      <c r="H495" s="133">
        <v>295.0</v>
      </c>
      <c r="I495" s="26">
        <v>0.15</v>
      </c>
      <c r="J495" s="26">
        <v>0.124285372411785</v>
      </c>
      <c r="K495" s="62"/>
      <c r="L495" s="193"/>
    </row>
    <row r="496" spans="8:8">
      <c r="A496" s="252" t="s">
        <v>612</v>
      </c>
      <c r="B496" s="135" t="s">
        <v>613</v>
      </c>
      <c r="C496" s="133">
        <v>1217.0</v>
      </c>
      <c r="D496" s="133">
        <v>7435.0</v>
      </c>
      <c r="E496" s="26">
        <v>0.03</v>
      </c>
      <c r="F496" s="26">
        <v>0.131003313439971</v>
      </c>
      <c r="G496" s="133">
        <v>80.0</v>
      </c>
      <c r="H496" s="133">
        <v>657.0</v>
      </c>
      <c r="I496" s="26">
        <v>6.0</v>
      </c>
      <c r="J496" s="26">
        <v>1.0641762365962</v>
      </c>
      <c r="K496" s="62"/>
      <c r="L496" s="193"/>
    </row>
    <row r="497" spans="8:8">
      <c r="A497" s="253"/>
      <c r="B497" s="135" t="s">
        <v>614</v>
      </c>
      <c r="C497" s="133">
        <v>1487.0</v>
      </c>
      <c r="D497" s="133">
        <v>6412.0</v>
      </c>
      <c r="E497" s="26">
        <v>0.06</v>
      </c>
      <c r="F497" s="26">
        <v>0.112692964572757</v>
      </c>
      <c r="G497" s="133">
        <v>218.0</v>
      </c>
      <c r="H497" s="133">
        <v>863.0</v>
      </c>
      <c r="I497" s="26">
        <v>0.12</v>
      </c>
      <c r="J497" s="26">
        <v>0.152689728943527</v>
      </c>
      <c r="K497" s="62"/>
      <c r="L497" s="193"/>
    </row>
    <row r="498" spans="8:8">
      <c r="A498" s="253"/>
      <c r="B498" s="135" t="s">
        <v>615</v>
      </c>
      <c r="C498" s="133">
        <v>608.0</v>
      </c>
      <c r="D498" s="133">
        <v>2922.0</v>
      </c>
      <c r="E498" s="26">
        <v>0.15</v>
      </c>
      <c r="F498" s="26">
        <v>0.196320585009677</v>
      </c>
      <c r="G498" s="133">
        <v>51.0</v>
      </c>
      <c r="H498" s="133">
        <v>298.0</v>
      </c>
      <c r="I498" s="26">
        <v>0.15</v>
      </c>
      <c r="J498" s="26">
        <v>0.227577393190437</v>
      </c>
      <c r="K498" s="62"/>
      <c r="L498" s="193"/>
    </row>
    <row r="499" spans="8:8">
      <c r="A499" s="254"/>
      <c r="B499" s="135" t="s">
        <v>616</v>
      </c>
      <c r="C499" s="133">
        <v>17054.0</v>
      </c>
      <c r="D499" s="133">
        <v>68803.0</v>
      </c>
      <c r="E499" s="26">
        <v>0.45</v>
      </c>
      <c r="F499" s="26">
        <v>0.337032195162604</v>
      </c>
      <c r="G499" s="133">
        <v>616.0</v>
      </c>
      <c r="H499" s="133">
        <v>2694.0</v>
      </c>
      <c r="I499" s="26">
        <v>1.4</v>
      </c>
      <c r="J499" s="26">
        <v>1.00332739496459</v>
      </c>
      <c r="K499" s="62"/>
      <c r="L499" s="193"/>
    </row>
    <row r="500" spans="8:8">
      <c r="A500" s="252" t="s">
        <v>617</v>
      </c>
      <c r="B500" s="135" t="s">
        <v>618</v>
      </c>
      <c r="C500" s="133">
        <v>827.0</v>
      </c>
      <c r="D500" s="133">
        <v>3343.0</v>
      </c>
      <c r="E500" s="26">
        <v>0.1</v>
      </c>
      <c r="F500" s="26">
        <v>0.1356</v>
      </c>
      <c r="G500" s="133">
        <v>224.0</v>
      </c>
      <c r="H500" s="133">
        <v>760.0</v>
      </c>
      <c r="I500" s="26">
        <v>0.08</v>
      </c>
      <c r="J500" s="26">
        <v>0.19303348168038</v>
      </c>
      <c r="K500" s="62"/>
      <c r="L500" s="193"/>
    </row>
    <row r="501" spans="8:8">
      <c r="A501" s="254"/>
      <c r="B501" s="135" t="s">
        <v>619</v>
      </c>
      <c r="C501" s="133">
        <v>6595.0</v>
      </c>
      <c r="D501" s="133">
        <v>24599.0</v>
      </c>
      <c r="E501" s="26">
        <v>0.12</v>
      </c>
      <c r="F501" s="26">
        <v>0.17838811502</v>
      </c>
      <c r="G501" s="133">
        <v>1562.0</v>
      </c>
      <c r="H501" s="133">
        <v>5217.0</v>
      </c>
      <c r="I501" s="26">
        <v>0.12</v>
      </c>
      <c r="J501" s="26">
        <v>0.181689390444117</v>
      </c>
      <c r="K501" s="62"/>
      <c r="L501" s="193"/>
    </row>
    <row r="502" spans="8:8">
      <c r="A502" s="255" t="s">
        <v>620</v>
      </c>
      <c r="B502" s="135" t="s">
        <v>621</v>
      </c>
      <c r="C502" s="133">
        <v>4725.0</v>
      </c>
      <c r="D502" s="133">
        <v>18377.0</v>
      </c>
      <c r="E502" s="26">
        <v>0.18</v>
      </c>
      <c r="F502" s="26">
        <v>0.134910826277781</v>
      </c>
      <c r="G502" s="133">
        <v>374.0</v>
      </c>
      <c r="H502" s="133">
        <v>1829.0</v>
      </c>
      <c r="I502" s="26">
        <v>0.33</v>
      </c>
      <c r="J502" s="26">
        <v>0.345474828503754</v>
      </c>
      <c r="K502" s="62"/>
      <c r="L502" s="193"/>
    </row>
    <row r="503" spans="8:8">
      <c r="A503" s="256"/>
      <c r="B503" s="257"/>
      <c r="C503" s="257"/>
      <c r="D503" s="257"/>
      <c r="E503" s="257"/>
      <c r="F503" s="257"/>
      <c r="G503" s="257"/>
      <c r="H503" s="257"/>
      <c r="I503" s="257"/>
      <c r="J503" s="257"/>
      <c r="K503" s="257"/>
      <c r="L503" s="258"/>
    </row>
    <row r="504" spans="8:8" ht="28.2">
      <c r="A504" s="46" t="s">
        <v>632</v>
      </c>
      <c r="B504" s="47"/>
      <c r="C504" s="47"/>
      <c r="D504" s="47"/>
      <c r="E504" s="47"/>
      <c r="F504" s="47"/>
      <c r="G504" s="47"/>
      <c r="H504" s="47"/>
      <c r="I504" s="47"/>
      <c r="J504" s="47"/>
      <c r="K504" s="47"/>
      <c r="L504" s="48"/>
    </row>
    <row r="505" spans="8:8" ht="59.4" customHeight="1">
      <c r="A505" s="49" t="s">
        <v>0</v>
      </c>
      <c r="B505" s="50" t="s">
        <v>1</v>
      </c>
      <c r="C505" s="51" t="s">
        <v>204</v>
      </c>
      <c r="D505" s="52"/>
      <c r="E505" s="53" t="s">
        <v>2</v>
      </c>
      <c r="F505" s="54"/>
      <c r="G505" s="53" t="s">
        <v>19</v>
      </c>
      <c r="H505" s="54"/>
      <c r="I505" s="53" t="s">
        <v>7</v>
      </c>
      <c r="J505" s="55"/>
      <c r="K505" s="56" t="s">
        <v>90</v>
      </c>
      <c r="L505" s="57" t="s">
        <v>5</v>
      </c>
    </row>
    <row r="506" spans="8:8" ht="23.4">
      <c r="A506" s="58"/>
      <c r="B506" s="16"/>
      <c r="C506" s="17" t="s">
        <v>91</v>
      </c>
      <c r="D506" s="18">
        <v>2026.0</v>
      </c>
      <c r="E506" s="17" t="s">
        <v>91</v>
      </c>
      <c r="F506" s="18">
        <v>2026.0</v>
      </c>
      <c r="G506" s="17" t="s">
        <v>91</v>
      </c>
      <c r="H506" s="18">
        <v>2026.0</v>
      </c>
      <c r="I506" s="17" t="s">
        <v>91</v>
      </c>
      <c r="J506" s="18">
        <v>2026.0</v>
      </c>
      <c r="K506" s="20"/>
      <c r="L506" s="21"/>
    </row>
    <row r="507" spans="8:8">
      <c r="A507" s="64" t="s">
        <v>623</v>
      </c>
      <c r="B507" s="59" t="s">
        <v>624</v>
      </c>
      <c r="C507" s="133">
        <v>27045.0</v>
      </c>
      <c r="D507" s="137">
        <v>118582.0</v>
      </c>
      <c r="E507" s="62">
        <f>C507/40402-1</f>
        <v>-0.33060244542349404</v>
      </c>
      <c r="F507" s="62">
        <f>D507/144145-1</f>
        <v>-0.177342259530334</v>
      </c>
      <c r="G507" s="202">
        <v>-4798.0</v>
      </c>
      <c r="H507" s="137">
        <v>-3186.0</v>
      </c>
      <c r="I507" s="62" t="s">
        <v>625</v>
      </c>
      <c r="J507" s="62" t="s">
        <v>625</v>
      </c>
      <c r="K507" s="62"/>
      <c r="L507" s="189"/>
    </row>
    <row r="508" spans="8:8">
      <c r="A508" s="64"/>
      <c r="B508" s="59" t="s">
        <v>626</v>
      </c>
      <c r="C508" s="133">
        <v>20431.0</v>
      </c>
      <c r="D508" s="133">
        <v>98980.0</v>
      </c>
      <c r="E508" s="62">
        <f>C508/25543-1</f>
        <v>-0.20013310887522995</v>
      </c>
      <c r="F508" s="62">
        <f>D508/103862-1</f>
        <v>-0.04700467928597596</v>
      </c>
      <c r="G508" s="202">
        <v>-2628.0</v>
      </c>
      <c r="H508" s="137">
        <v>-2162.0</v>
      </c>
      <c r="I508" s="62" t="s">
        <v>625</v>
      </c>
      <c r="J508" s="62" t="s">
        <v>625</v>
      </c>
      <c r="K508" s="62"/>
      <c r="L508" s="189"/>
    </row>
    <row r="509" spans="8:8">
      <c r="A509" s="64"/>
      <c r="B509" s="135" t="s">
        <v>627</v>
      </c>
      <c r="C509" s="133"/>
      <c r="D509" s="135"/>
      <c r="E509" s="62"/>
      <c r="F509" s="62"/>
      <c r="G509" s="133"/>
      <c r="H509" s="135"/>
      <c r="I509" s="62"/>
      <c r="J509" s="62"/>
      <c r="K509" s="62"/>
      <c r="L509" s="189"/>
    </row>
    <row r="510" spans="8:8">
      <c r="A510" s="186" t="s">
        <v>628</v>
      </c>
      <c r="B510" s="65" t="s">
        <v>629</v>
      </c>
      <c r="C510" s="133">
        <v>3580.0</v>
      </c>
      <c r="D510" s="133">
        <v>16789.0</v>
      </c>
      <c r="E510" s="62" t="s">
        <v>20</v>
      </c>
      <c r="F510" s="62">
        <f>D510/15534-1</f>
        <v>0.08079052401185005</v>
      </c>
      <c r="G510" s="137">
        <v>40.0</v>
      </c>
      <c r="H510" s="133">
        <v>940.0</v>
      </c>
      <c r="I510" s="62" t="s">
        <v>630</v>
      </c>
      <c r="J510" s="62" t="s">
        <v>630</v>
      </c>
      <c r="K510" s="62"/>
      <c r="L510" s="193"/>
    </row>
    <row r="511" spans="8:8">
      <c r="A511" s="191"/>
      <c r="B511" s="67" t="s">
        <v>631</v>
      </c>
      <c r="C511" s="133">
        <v>6254.0</v>
      </c>
      <c r="D511" s="133">
        <v>21391.0</v>
      </c>
      <c r="E511" s="62" t="s">
        <v>20</v>
      </c>
      <c r="F511" s="62">
        <f>D511/20654-1</f>
        <v>0.035683160646849954</v>
      </c>
      <c r="G511" s="133">
        <v>220.0</v>
      </c>
      <c r="H511" s="133">
        <v>1450.0</v>
      </c>
      <c r="I511" s="62" t="s">
        <v>630</v>
      </c>
      <c r="J511" s="62" t="s">
        <v>630</v>
      </c>
      <c r="K511" s="62"/>
      <c r="L511" s="193"/>
    </row>
    <row r="512" spans="8:8">
      <c r="A512" s="259"/>
      <c r="B512" s="197"/>
      <c r="C512" s="197"/>
      <c r="D512" s="197"/>
      <c r="E512" s="197"/>
      <c r="F512" s="197"/>
      <c r="G512" s="197"/>
      <c r="H512" s="197"/>
      <c r="I512" s="197"/>
      <c r="J512" s="197"/>
      <c r="K512" s="197"/>
      <c r="L512" s="260"/>
    </row>
    <row r="513" spans="8:8" ht="28.2">
      <c r="A513" s="46" t="s">
        <v>657</v>
      </c>
      <c r="B513" s="47"/>
      <c r="C513" s="47"/>
      <c r="D513" s="47"/>
      <c r="E513" s="47"/>
      <c r="F513" s="47"/>
      <c r="G513" s="47"/>
      <c r="H513" s="47"/>
      <c r="I513" s="47"/>
      <c r="J513" s="47"/>
      <c r="K513" s="47"/>
      <c r="L513" s="48"/>
    </row>
    <row r="514" spans="8:8" ht="70.2" customHeight="1">
      <c r="A514" s="49" t="s">
        <v>0</v>
      </c>
      <c r="B514" s="50" t="s">
        <v>1</v>
      </c>
      <c r="C514" s="51" t="s">
        <v>160</v>
      </c>
      <c r="D514" s="52"/>
      <c r="E514" s="53" t="s">
        <v>2</v>
      </c>
      <c r="F514" s="54"/>
      <c r="G514" s="53" t="s">
        <v>161</v>
      </c>
      <c r="H514" s="54"/>
      <c r="I514" s="53" t="s">
        <v>8</v>
      </c>
      <c r="J514" s="55"/>
      <c r="K514" s="56" t="s">
        <v>71</v>
      </c>
      <c r="L514" s="57" t="s">
        <v>5</v>
      </c>
    </row>
    <row r="515" spans="8:8" ht="23.4">
      <c r="A515" s="58"/>
      <c r="B515" s="16"/>
      <c r="C515" s="17" t="s">
        <v>72</v>
      </c>
      <c r="D515" s="18">
        <v>2026.0</v>
      </c>
      <c r="E515" s="17" t="s">
        <v>72</v>
      </c>
      <c r="F515" s="18">
        <v>2026.0</v>
      </c>
      <c r="G515" s="17" t="s">
        <v>72</v>
      </c>
      <c r="H515" s="18">
        <v>2026.0</v>
      </c>
      <c r="I515" s="17" t="s">
        <v>72</v>
      </c>
      <c r="J515" s="18">
        <v>2026.0</v>
      </c>
      <c r="K515" s="20"/>
      <c r="L515" s="21"/>
    </row>
    <row r="516" spans="8:8" ht="57.0" customHeight="1">
      <c r="A516" s="198" t="s">
        <v>633</v>
      </c>
      <c r="B516" s="67" t="s">
        <v>634</v>
      </c>
      <c r="C516" s="25">
        <v>128859.19280000002</v>
      </c>
      <c r="D516" s="25">
        <v>489512.5182596</v>
      </c>
      <c r="E516" s="37">
        <v>0.04</v>
      </c>
      <c r="F516" s="37">
        <v>0.067</v>
      </c>
      <c r="G516" s="25">
        <v>13591.46</v>
      </c>
      <c r="H516" s="25">
        <v>48211.988888499895</v>
      </c>
      <c r="I516" s="37">
        <v>0.0</v>
      </c>
      <c r="J516" s="37">
        <v>0.091</v>
      </c>
      <c r="K516" s="37"/>
      <c r="L516" s="33" t="s">
        <v>648</v>
      </c>
    </row>
    <row r="517" spans="8:8" ht="62.4" customHeight="1">
      <c r="A517" s="200"/>
      <c r="B517" s="67" t="s">
        <v>636</v>
      </c>
      <c r="C517" s="25">
        <v>77375.8609</v>
      </c>
      <c r="D517" s="25">
        <v>319357.6535920498</v>
      </c>
      <c r="E517" s="37">
        <v>0.0</v>
      </c>
      <c r="F517" s="37">
        <v>0.037</v>
      </c>
      <c r="G517" s="25">
        <v>5891.74254</v>
      </c>
      <c r="H517" s="25">
        <v>22160.205821920816</v>
      </c>
      <c r="I517" s="37">
        <v>-0.1</v>
      </c>
      <c r="J517" s="37">
        <v>0.058</v>
      </c>
      <c r="K517" s="37"/>
      <c r="L517" s="33" t="s">
        <v>649</v>
      </c>
    </row>
    <row r="518" spans="8:8" ht="61.8" customHeight="1">
      <c r="A518" s="198" t="s">
        <v>637</v>
      </c>
      <c r="B518" s="67" t="s">
        <v>638</v>
      </c>
      <c r="C518" s="25">
        <v>14714.2556406</v>
      </c>
      <c r="D518" s="25">
        <v>61999.46079160021</v>
      </c>
      <c r="E518" s="37">
        <v>0.062</v>
      </c>
      <c r="F518" s="37">
        <v>0.071</v>
      </c>
      <c r="G518" s="25">
        <v>594.0438049</v>
      </c>
      <c r="H518" s="25">
        <v>2734.7549133258217</v>
      </c>
      <c r="I518" s="37">
        <v>0.183</v>
      </c>
      <c r="J518" s="37">
        <v>0.129</v>
      </c>
      <c r="K518" s="37"/>
      <c r="L518" s="33" t="s">
        <v>650</v>
      </c>
    </row>
    <row r="519" spans="8:8" ht="55.2" customHeight="1">
      <c r="A519" s="200"/>
      <c r="B519" s="261" t="s">
        <v>639</v>
      </c>
      <c r="C519" s="25">
        <v>32368.600000000002</v>
      </c>
      <c r="D519" s="25">
        <v>128574.1656145051</v>
      </c>
      <c r="E519" s="37">
        <v>0.1</v>
      </c>
      <c r="F519" s="37">
        <v>0.137</v>
      </c>
      <c r="G519" s="25">
        <v>1068.35</v>
      </c>
      <c r="H519" s="25">
        <v>2964.21444</v>
      </c>
      <c r="I519" s="37">
        <v>0.15</v>
      </c>
      <c r="J519" s="37">
        <v>0.188</v>
      </c>
      <c r="K519" s="37"/>
      <c r="L519" s="33" t="s">
        <v>651</v>
      </c>
    </row>
    <row r="520" spans="8:8" ht="57.0" customHeight="1">
      <c r="A520" s="252" t="s">
        <v>640</v>
      </c>
      <c r="B520" s="67" t="s">
        <v>641</v>
      </c>
      <c r="C520" s="25">
        <v>5861.835472</v>
      </c>
      <c r="D520" s="25">
        <v>24097.878</v>
      </c>
      <c r="E520" s="37">
        <v>0.03</v>
      </c>
      <c r="F520" s="37">
        <v>0.05</v>
      </c>
      <c r="G520" s="25">
        <v>456.35169700000006</v>
      </c>
      <c r="H520" s="25">
        <v>2303.2713000000003</v>
      </c>
      <c r="I520" s="37">
        <v>0.03</v>
      </c>
      <c r="J520" s="37">
        <v>0.07</v>
      </c>
      <c r="K520" s="37"/>
      <c r="L520" s="33" t="s">
        <v>652</v>
      </c>
    </row>
    <row r="521" spans="8:8" ht="51.6" customHeight="1">
      <c r="A521" s="253"/>
      <c r="B521" s="67" t="s">
        <v>642</v>
      </c>
      <c r="C521" s="25">
        <v>5146.333604999999</v>
      </c>
      <c r="D521" s="25">
        <v>28114.784999999996</v>
      </c>
      <c r="E521" s="37">
        <v>0.15</v>
      </c>
      <c r="F521" s="37">
        <v>0.5</v>
      </c>
      <c r="G521" s="25">
        <v>430.51921500000003</v>
      </c>
      <c r="H521" s="25">
        <v>2387.8500000000004</v>
      </c>
      <c r="I521" s="37">
        <v>0.05</v>
      </c>
      <c r="J521" s="37">
        <v>0.5</v>
      </c>
      <c r="K521" s="37"/>
      <c r="L521" s="33" t="s">
        <v>653</v>
      </c>
    </row>
    <row r="522" spans="8:8" ht="52.8" customHeight="1">
      <c r="A522" s="254"/>
      <c r="B522" s="67" t="s">
        <v>643</v>
      </c>
      <c r="C522" s="25">
        <v>423.22715999999997</v>
      </c>
      <c r="D522" s="25">
        <v>2896.6</v>
      </c>
      <c r="E522" s="37">
        <v>0.2</v>
      </c>
      <c r="F522" s="37">
        <v>0.4</v>
      </c>
      <c r="G522" s="25">
        <v>64.245</v>
      </c>
      <c r="H522" s="25">
        <v>320.194</v>
      </c>
      <c r="I522" s="37">
        <v>0.2</v>
      </c>
      <c r="J522" s="37">
        <v>0.4</v>
      </c>
      <c r="K522" s="240"/>
      <c r="L522" s="33" t="s">
        <v>654</v>
      </c>
    </row>
    <row r="523" spans="8:8" ht="59.4" customHeight="1">
      <c r="A523" s="255" t="s">
        <v>644</v>
      </c>
      <c r="B523" s="67" t="s">
        <v>645</v>
      </c>
      <c r="C523" s="25">
        <v>1081.509064</v>
      </c>
      <c r="D523" s="25">
        <v>5013.3699</v>
      </c>
      <c r="E523" s="37">
        <v>0.03</v>
      </c>
      <c r="F523" s="37">
        <v>0.05</v>
      </c>
      <c r="G523" s="25">
        <v>59.60266250000001</v>
      </c>
      <c r="H523" s="25">
        <v>384.1915</v>
      </c>
      <c r="I523" s="37">
        <v>0.685</v>
      </c>
      <c r="J523" s="37">
        <v>0.7</v>
      </c>
      <c r="K523" s="37"/>
      <c r="L523" s="33" t="s">
        <v>655</v>
      </c>
    </row>
    <row r="524" spans="8:8" ht="51.6" customHeight="1">
      <c r="A524" s="255" t="s">
        <v>646</v>
      </c>
      <c r="B524" s="67" t="s">
        <v>647</v>
      </c>
      <c r="C524" s="25">
        <v>2797.3224127999997</v>
      </c>
      <c r="D524" s="25">
        <v>12357.476820000002</v>
      </c>
      <c r="E524" s="37">
        <v>0.376</v>
      </c>
      <c r="F524" s="37">
        <v>0.378</v>
      </c>
      <c r="G524" s="25">
        <v>176.15903759999998</v>
      </c>
      <c r="H524" s="25">
        <v>986.87634912</v>
      </c>
      <c r="I524" s="37">
        <v>0.416</v>
      </c>
      <c r="J524" s="37">
        <v>0.448</v>
      </c>
      <c r="K524" s="37"/>
      <c r="L524" s="33" t="s">
        <v>656</v>
      </c>
    </row>
    <row r="525" spans="8:8">
      <c r="A525" s="262" t="s">
        <v>709</v>
      </c>
      <c r="B525" s="263"/>
      <c r="C525" s="263"/>
      <c r="D525" s="263"/>
      <c r="E525" s="263"/>
      <c r="F525" s="263"/>
      <c r="G525" s="263"/>
      <c r="H525" s="263"/>
      <c r="I525" s="263"/>
      <c r="J525" s="263"/>
      <c r="K525" s="263"/>
      <c r="L525" s="264"/>
    </row>
    <row r="526" spans="8:8" ht="22.2" customHeight="1">
      <c r="A526" s="265"/>
      <c r="B526" s="266"/>
      <c r="C526" s="266"/>
      <c r="D526" s="266"/>
      <c r="E526" s="266"/>
      <c r="F526" s="266"/>
      <c r="G526" s="266"/>
      <c r="H526" s="266"/>
      <c r="I526" s="266"/>
      <c r="J526" s="266"/>
      <c r="K526" s="266"/>
      <c r="L526" s="267"/>
    </row>
    <row r="527" spans="8:8" ht="67.2" customHeight="1">
      <c r="A527" s="268"/>
      <c r="B527" s="269"/>
      <c r="C527" s="269"/>
      <c r="D527" s="269"/>
      <c r="E527" s="269"/>
      <c r="F527" s="269"/>
      <c r="G527" s="269"/>
      <c r="H527" s="269"/>
      <c r="I527" s="269"/>
      <c r="J527" s="269"/>
      <c r="K527" s="269"/>
      <c r="L527" s="270"/>
    </row>
    <row r="534" spans="8:8" ht="52.5" customHeight="1"/>
    <row r="536" spans="8:8" ht="49.5" customHeight="1"/>
    <row r="537" spans="8:8" ht="48.75" customHeight="1"/>
    <row r="538" spans="8:8" ht="44.25" customHeight="1"/>
    <row r="541" spans="8:8" ht="52.5" customHeight="1">
      <c r="L541" s="1"/>
    </row>
    <row r="587" spans="8:8" ht="59.25" customHeight="1">
      <c r="L587" s="1"/>
    </row>
    <row r="608" spans="8:8" ht="60.75" customHeight="1">
      <c r="L608" s="1"/>
    </row>
    <row r="625" spans="8:8" ht="61.5" customHeight="1">
      <c r="L625" s="1"/>
    </row>
    <row r="638" spans="8:8" ht="84.75" customHeight="1">
      <c r="L638" s="1"/>
    </row>
    <row r="673" spans="8:8" ht="64.5" customHeight="1">
      <c r="L673" s="1"/>
    </row>
    <row r="688" spans="8:8" ht="1.5" customHeight="1">
      <c r="L688" s="1"/>
    </row>
    <row r="689" spans="8:8" ht="70.5" customHeight="1">
      <c r="L689" s="1"/>
    </row>
    <row r="705" spans="8:8" ht="69.75" customHeight="1">
      <c r="L705" s="1"/>
    </row>
    <row r="727" spans="8:8" ht="96.75" customHeight="1">
      <c r="L727" s="1"/>
    </row>
    <row r="755" spans="8:8" ht="88.5" customHeight="1">
      <c r="L755" s="1"/>
    </row>
    <row r="759" spans="8:8" ht="31.5" customHeight="1">
      <c r="L759" s="1"/>
    </row>
    <row r="760" spans="8:8" ht="31.5" customHeight="1">
      <c r="L760" s="1"/>
    </row>
    <row r="761" spans="8:8" ht="74.25" customHeight="1">
      <c r="L761" s="1"/>
    </row>
    <row r="762" spans="8:8" ht="31.5" customHeight="1">
      <c r="L762" s="1"/>
    </row>
    <row r="768" spans="8:8" ht="79.2" customHeight="1">
      <c r="L768" s="1"/>
    </row>
    <row r="773" spans="8:8" ht="22.2" customHeight="1">
      <c r="L773" s="1"/>
    </row>
    <row r="787" spans="8:8" ht="21.0" customHeight="1">
      <c r="L787" s="1"/>
    </row>
    <row r="788" spans="8:8" ht="24.0" customHeight="1">
      <c r="L788" s="1"/>
    </row>
    <row r="789" spans="8:8" ht="75.0" customHeight="1">
      <c r="L789" s="1"/>
    </row>
    <row r="801" spans="8:8" ht="78.75" customHeight="1">
      <c r="L801" s="1"/>
    </row>
    <row r="812" spans="8:8" ht="27.75" customHeight="1">
      <c r="L812" s="1"/>
    </row>
    <row r="814" spans="8:8" ht="70.5" customHeight="1">
      <c r="L814" s="1"/>
    </row>
    <row r="825" spans="8:8" ht="49.2" customHeight="1">
      <c r="L825" s="1"/>
    </row>
    <row r="826" spans="8:8" ht="21.0" customHeight="1">
      <c r="L826" s="1"/>
    </row>
    <row r="840" spans="8:8" ht="92.25" customHeight="1">
      <c r="L840" s="1"/>
    </row>
  </sheetData>
  <mergeCells count="307">
    <mergeCell ref="E422:F422"/>
    <mergeCell ref="B2:B3"/>
    <mergeCell ref="A325:A327"/>
    <mergeCell ref="C2:D2"/>
    <mergeCell ref="C443:D443"/>
    <mergeCell ref="A4:A11"/>
    <mergeCell ref="A367:L367"/>
    <mergeCell ref="A458:A461"/>
    <mergeCell ref="A2:A3"/>
    <mergeCell ref="C422:D422"/>
    <mergeCell ref="E2:F2"/>
    <mergeCell ref="B422:B423"/>
    <mergeCell ref="G2:H2"/>
    <mergeCell ref="I2:J2"/>
    <mergeCell ref="K2:K3"/>
    <mergeCell ref="A455:A457"/>
    <mergeCell ref="I443:J443"/>
    <mergeCell ref="A328:A329"/>
    <mergeCell ref="A330:A333"/>
    <mergeCell ref="A334:A335"/>
    <mergeCell ref="A336:A337"/>
    <mergeCell ref="A338:A341"/>
    <mergeCell ref="A342:A343"/>
    <mergeCell ref="G422:H422"/>
    <mergeCell ref="L2:L3"/>
    <mergeCell ref="B323:B324"/>
    <mergeCell ref="I514:J514"/>
    <mergeCell ref="B349:B350"/>
    <mergeCell ref="A390:A393"/>
    <mergeCell ref="A525:L527"/>
    <mergeCell ref="A168:L168"/>
    <mergeCell ref="L116:L117"/>
    <mergeCell ref="I170:J170"/>
    <mergeCell ref="B77:B78"/>
    <mergeCell ref="I77:J77"/>
    <mergeCell ref="K77:K78"/>
    <mergeCell ref="L77:L78"/>
    <mergeCell ref="L514:L515"/>
    <mergeCell ref="A415:A416"/>
    <mergeCell ref="A476:L476"/>
    <mergeCell ref="G514:H514"/>
    <mergeCell ref="E514:F514"/>
    <mergeCell ref="A417:A418"/>
    <mergeCell ref="A395:A398"/>
    <mergeCell ref="A169:L169"/>
    <mergeCell ref="A108:A109"/>
    <mergeCell ref="B170:B171"/>
    <mergeCell ref="A75:L75"/>
    <mergeCell ref="A76:L76"/>
    <mergeCell ref="A69:A74"/>
    <mergeCell ref="G170:H170"/>
    <mergeCell ref="K116:K117"/>
    <mergeCell ref="A170:A171"/>
    <mergeCell ref="A77:A78"/>
    <mergeCell ref="E170:F170"/>
    <mergeCell ref="G77:H77"/>
    <mergeCell ref="E77:F77"/>
    <mergeCell ref="C77:D77"/>
    <mergeCell ref="B106:B107"/>
    <mergeCell ref="C170:D170"/>
    <mergeCell ref="A510:A511"/>
    <mergeCell ref="A385:A386"/>
    <mergeCell ref="L505:L506"/>
    <mergeCell ref="A496:A499"/>
    <mergeCell ref="A500:A501"/>
    <mergeCell ref="A490:A495"/>
    <mergeCell ref="A479:A489"/>
    <mergeCell ref="C116:D116"/>
    <mergeCell ref="K106:K107"/>
    <mergeCell ref="I106:J106"/>
    <mergeCell ref="E106:F106"/>
    <mergeCell ref="G106:H106"/>
    <mergeCell ref="A106:A107"/>
    <mergeCell ref="A41:A48"/>
    <mergeCell ref="A114:L114"/>
    <mergeCell ref="G116:H116"/>
    <mergeCell ref="B116:B117"/>
    <mergeCell ref="L385:L386"/>
    <mergeCell ref="A516:A517"/>
    <mergeCell ref="A143:L143"/>
    <mergeCell ref="A64:L64"/>
    <mergeCell ref="A307:L307"/>
    <mergeCell ref="A49:A51"/>
    <mergeCell ref="A276:L276"/>
    <mergeCell ref="A58:A63"/>
    <mergeCell ref="A288:L288"/>
    <mergeCell ref="A52:A57"/>
    <mergeCell ref="A475:L475"/>
    <mergeCell ref="A384:L384"/>
    <mergeCell ref="A518:A519"/>
    <mergeCell ref="K385:K386"/>
    <mergeCell ref="I385:J385"/>
    <mergeCell ref="G385:H385"/>
    <mergeCell ref="E385:F385"/>
    <mergeCell ref="C385:D385"/>
    <mergeCell ref="B385:B386"/>
    <mergeCell ref="A520:A522"/>
    <mergeCell ref="A118:A124"/>
    <mergeCell ref="A164:A165"/>
    <mergeCell ref="A145:A146"/>
    <mergeCell ref="B145:B146"/>
    <mergeCell ref="C145:D145"/>
    <mergeCell ref="E145:F145"/>
    <mergeCell ref="G145:H145"/>
    <mergeCell ref="I145:J145"/>
    <mergeCell ref="A381:A382"/>
    <mergeCell ref="A347:L347"/>
    <mergeCell ref="B290:B291"/>
    <mergeCell ref="A144:L144"/>
    <mergeCell ref="A161:A163"/>
    <mergeCell ref="A125:A128"/>
    <mergeCell ref="L145:L146"/>
    <mergeCell ref="A166:A167"/>
    <mergeCell ref="K145:K146"/>
    <mergeCell ref="A129:A142"/>
    <mergeCell ref="A147:A150"/>
    <mergeCell ref="A151:A153"/>
    <mergeCell ref="A154:A158"/>
    <mergeCell ref="A289:L289"/>
    <mergeCell ref="A365:A366"/>
    <mergeCell ref="K290:K291"/>
    <mergeCell ref="L290:L291"/>
    <mergeCell ref="A368:L368"/>
    <mergeCell ref="A371:A375"/>
    <mergeCell ref="G290:H290"/>
    <mergeCell ref="I369:J369"/>
    <mergeCell ref="A352:A355"/>
    <mergeCell ref="A369:A370"/>
    <mergeCell ref="B369:B370"/>
    <mergeCell ref="G369:H369"/>
    <mergeCell ref="I290:J290"/>
    <mergeCell ref="A359:A363"/>
    <mergeCell ref="A290:A291"/>
    <mergeCell ref="A357:A358"/>
    <mergeCell ref="C290:D290"/>
    <mergeCell ref="E290:F290"/>
    <mergeCell ref="K369:K370"/>
    <mergeCell ref="L369:L370"/>
    <mergeCell ref="B514:B515"/>
    <mergeCell ref="L349:L350"/>
    <mergeCell ref="A376:A379"/>
    <mergeCell ref="A115:L115"/>
    <mergeCell ref="A159:A160"/>
    <mergeCell ref="K514:K515"/>
    <mergeCell ref="A503:L503"/>
    <mergeCell ref="L477:L478"/>
    <mergeCell ref="K278:K279"/>
    <mergeCell ref="A254:A255"/>
    <mergeCell ref="I309:J309"/>
    <mergeCell ref="A252:A253"/>
    <mergeCell ref="A408:L408"/>
    <mergeCell ref="A507:A509"/>
    <mergeCell ref="K477:K478"/>
    <mergeCell ref="A437:A438"/>
    <mergeCell ref="A442:L442"/>
    <mergeCell ref="A433:A436"/>
    <mergeCell ref="I477:J477"/>
    <mergeCell ref="A477:A478"/>
    <mergeCell ref="A439:A440"/>
    <mergeCell ref="G477:H477"/>
    <mergeCell ref="E477:F477"/>
    <mergeCell ref="C477:D477"/>
    <mergeCell ref="A443:A444"/>
    <mergeCell ref="B477:B478"/>
    <mergeCell ref="K505:K506"/>
    <mergeCell ref="A505:A506"/>
    <mergeCell ref="A504:L504"/>
    <mergeCell ref="B505:B506"/>
    <mergeCell ref="I505:J505"/>
    <mergeCell ref="G505:H505"/>
    <mergeCell ref="C505:D505"/>
    <mergeCell ref="E505:F505"/>
    <mergeCell ref="A421:L421"/>
    <mergeCell ref="B443:B444"/>
    <mergeCell ref="I422:J422"/>
    <mergeCell ref="K422:K423"/>
    <mergeCell ref="L422:L423"/>
    <mergeCell ref="G443:H443"/>
    <mergeCell ref="A12:A22"/>
    <mergeCell ref="A445:A450"/>
    <mergeCell ref="A465:A472"/>
    <mergeCell ref="A441:L441"/>
    <mergeCell ref="A345:A346"/>
    <mergeCell ref="A1:L1"/>
    <mergeCell ref="G323:H323"/>
    <mergeCell ref="L323:L324"/>
    <mergeCell ref="C323:D323"/>
    <mergeCell ref="E323:F323"/>
    <mergeCell ref="K323:K324"/>
    <mergeCell ref="A462:A464"/>
    <mergeCell ref="K443:K444"/>
    <mergeCell ref="E443:F443"/>
    <mergeCell ref="I323:J323"/>
    <mergeCell ref="A323:A324"/>
    <mergeCell ref="A23:A40"/>
    <mergeCell ref="A321:L321"/>
    <mergeCell ref="A473:A474"/>
    <mergeCell ref="L106:L107"/>
    <mergeCell ref="E116:F116"/>
    <mergeCell ref="C106:D106"/>
    <mergeCell ref="A411:A412"/>
    <mergeCell ref="A513:L513"/>
    <mergeCell ref="A514:A515"/>
    <mergeCell ref="A451:A454"/>
    <mergeCell ref="L443:L444"/>
    <mergeCell ref="A422:A423"/>
    <mergeCell ref="A322:L322"/>
    <mergeCell ref="A311:A314"/>
    <mergeCell ref="A315:A316"/>
    <mergeCell ref="A317:A320"/>
    <mergeCell ref="A105:L105"/>
    <mergeCell ref="I116:J116"/>
    <mergeCell ref="A116:A117"/>
    <mergeCell ref="K309:K310"/>
    <mergeCell ref="A278:A279"/>
    <mergeCell ref="G309:H309"/>
    <mergeCell ref="E309:F309"/>
    <mergeCell ref="B309:B310"/>
    <mergeCell ref="C309:D309"/>
    <mergeCell ref="A413:A414"/>
    <mergeCell ref="A512:L512"/>
    <mergeCell ref="C514:D514"/>
    <mergeCell ref="A387:A389"/>
    <mergeCell ref="A348:L348"/>
    <mergeCell ref="A308:L308"/>
    <mergeCell ref="E349:F349"/>
    <mergeCell ref="L309:L310"/>
    <mergeCell ref="A245:L245"/>
    <mergeCell ref="A420:L420"/>
    <mergeCell ref="G401:H401"/>
    <mergeCell ref="K170:K171"/>
    <mergeCell ref="C278:D278"/>
    <mergeCell ref="A247:A248"/>
    <mergeCell ref="A246:L246"/>
    <mergeCell ref="C349:D349"/>
    <mergeCell ref="A400:L400"/>
    <mergeCell ref="B401:B402"/>
    <mergeCell ref="A409:A410"/>
    <mergeCell ref="I401:J401"/>
    <mergeCell ref="A424:A425"/>
    <mergeCell ref="A426:A427"/>
    <mergeCell ref="A428:A432"/>
    <mergeCell ref="L401:L402"/>
    <mergeCell ref="B409:B410"/>
    <mergeCell ref="A401:A402"/>
    <mergeCell ref="C401:D401"/>
    <mergeCell ref="K409:K410"/>
    <mergeCell ref="E409:F409"/>
    <mergeCell ref="G409:H409"/>
    <mergeCell ref="I409:J409"/>
    <mergeCell ref="K401:K402"/>
    <mergeCell ref="L409:L410"/>
    <mergeCell ref="E401:F401"/>
    <mergeCell ref="C409:D409"/>
    <mergeCell ref="A268:A269"/>
    <mergeCell ref="G247:H247"/>
    <mergeCell ref="E247:F247"/>
    <mergeCell ref="C247:D247"/>
    <mergeCell ref="B247:B248"/>
    <mergeCell ref="I247:J247"/>
    <mergeCell ref="K247:K248"/>
    <mergeCell ref="L247:L248"/>
    <mergeCell ref="C369:D369"/>
    <mergeCell ref="A309:A310"/>
    <mergeCell ref="K349:K350"/>
    <mergeCell ref="A270:A271"/>
    <mergeCell ref="E278:F278"/>
    <mergeCell ref="A249:A251"/>
    <mergeCell ref="A261:A262"/>
    <mergeCell ref="A263:A264"/>
    <mergeCell ref="A265:A266"/>
    <mergeCell ref="L170:L171"/>
    <mergeCell ref="A65:L65"/>
    <mergeCell ref="A257:A260"/>
    <mergeCell ref="A66:A67"/>
    <mergeCell ref="A82:A85"/>
    <mergeCell ref="A79:A81"/>
    <mergeCell ref="A197:A198"/>
    <mergeCell ref="A199:A216"/>
    <mergeCell ref="A217:A220"/>
    <mergeCell ref="A277:L277"/>
    <mergeCell ref="G349:H349"/>
    <mergeCell ref="L278:L279"/>
    <mergeCell ref="A280:A287"/>
    <mergeCell ref="I349:J349"/>
    <mergeCell ref="E369:F369"/>
    <mergeCell ref="C66:D66"/>
    <mergeCell ref="A235:A244"/>
    <mergeCell ref="E66:F66"/>
    <mergeCell ref="G66:H66"/>
    <mergeCell ref="I66:J66"/>
    <mergeCell ref="K66:K67"/>
    <mergeCell ref="L66:L67"/>
    <mergeCell ref="A349:A350"/>
    <mergeCell ref="I278:J278"/>
    <mergeCell ref="G278:H278"/>
    <mergeCell ref="A194:A196"/>
    <mergeCell ref="B278:B279"/>
    <mergeCell ref="A172:A193"/>
    <mergeCell ref="A86:A88"/>
    <mergeCell ref="A89:A92"/>
    <mergeCell ref="A93:A95"/>
    <mergeCell ref="A96:A101"/>
    <mergeCell ref="A102:A103"/>
    <mergeCell ref="B66:B67"/>
    <mergeCell ref="A221:A234"/>
    <mergeCell ref="A104:XFD104"/>
  </mergeCells>
  <pageMargins left="0.196527777777778" right="0.196527777777778" top="0.196527777777778" bottom="0.156944444444444" header="0.5" footer="0.5"/>
  <pageSetup paperSize="9" scale="35"/>
</worksheet>
</file>

<file path=docProps/app.xml><?xml version="1.0" encoding="utf-8"?>
<Properties xmlns="http://schemas.openxmlformats.org/officeDocument/2006/extended-properties">
  <Application>Kingsoft Office</Application>
  <DocSecurity>0</DocSecurity>
  <ScaleCrop>0</ScaleCrop>
  <LinksUpToDate>0</LinksUpToDate>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creator>Pei</dc:creator>
  <cp:lastModifiedBy>wenfei Pei</cp:lastModifiedBy>
  <dcterms:created xsi:type="dcterms:W3CDTF">2015-06-05T10:19:00Z</dcterms:created>
  <dcterms:modified xsi:type="dcterms:W3CDTF">2026-06-29T23:12:06Z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M_Doc_Temp_ID">
    <vt:lpwstr>8FE8833E-01E0-42FF-991A-0D926060ECC1</vt:lpwstr>
  </property>
  <property fmtid="{D5CDD505-2E9C-101B-9397-08002B2CF9AE}" pid="3" name="ICV">
    <vt:lpwstr>C3D0C505BCE94E23AA0E3CD496F4C122_12</vt:lpwstr>
  </property>
  <property fmtid="{D5CDD505-2E9C-101B-9397-08002B2CF9AE}" pid="4" name="KSOProductBuildVer">
    <vt:lpwstr>2052-12.1.0.21539</vt:lpwstr>
  </property>
</Properties>
</file>