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6097\Nutstore\1\我的坚果云\01深度覆盖\0000核心覆盖\博创科技\2长飞光纤\路演PPT\"/>
    </mc:Choice>
  </mc:AlternateContent>
  <xr:revisionPtr revIDLastSave="0" documentId="13_ncr:1_{645C5FA4-7A72-467C-859C-8CE10DE062FB}" xr6:coauthVersionLast="47" xr6:coauthVersionMax="47" xr10:uidLastSave="{00000000-0000-0000-0000-000000000000}"/>
  <bookViews>
    <workbookView xWindow="-98" yWindow="-98" windowWidth="21795" windowHeight="12975" xr2:uid="{5F487DFD-91BA-41A0-8F99-CF15944DCD4D}"/>
  </bookViews>
  <sheets>
    <sheet name="涨价弹性" sheetId="1" r:id="rId1"/>
    <sheet name="散纤价格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0" i="1" l="1"/>
  <c r="X12" i="1"/>
  <c r="X11" i="1"/>
  <c r="X13" i="1"/>
  <c r="W13" i="1" s="1"/>
  <c r="V13" i="1"/>
  <c r="R13" i="1"/>
  <c r="R12" i="1"/>
  <c r="R11" i="1"/>
  <c r="Q9" i="1"/>
  <c r="R10" i="1"/>
  <c r="P13" i="1"/>
  <c r="P10" i="1"/>
  <c r="Q10" i="1" s="1"/>
  <c r="X9" i="1"/>
  <c r="W9" i="1" s="1"/>
  <c r="X8" i="1"/>
  <c r="V12" i="1" s="1"/>
  <c r="W12" i="1" s="1"/>
  <c r="X7" i="1"/>
  <c r="V11" i="1" s="1"/>
  <c r="W11" i="1" s="1"/>
  <c r="X6" i="1"/>
  <c r="V10" i="1" s="1"/>
  <c r="R6" i="1"/>
  <c r="Q6" i="1" s="1"/>
  <c r="R9" i="1"/>
  <c r="R8" i="1"/>
  <c r="Q8" i="1" s="1"/>
  <c r="R7" i="1"/>
  <c r="Q7" i="1" s="1"/>
  <c r="V6" i="1"/>
  <c r="P6" i="1"/>
  <c r="N13" i="1"/>
  <c r="L10" i="1"/>
  <c r="H13" i="1"/>
  <c r="U13" i="1"/>
  <c r="U12" i="1"/>
  <c r="U11" i="1"/>
  <c r="U10" i="1"/>
  <c r="U9" i="1"/>
  <c r="U8" i="1"/>
  <c r="U6" i="1"/>
  <c r="U7" i="1"/>
  <c r="M19" i="1"/>
  <c r="D13" i="1"/>
  <c r="G13" i="1" s="1"/>
  <c r="D9" i="1"/>
  <c r="AE9" i="1" s="1"/>
  <c r="D12" i="1"/>
  <c r="G12" i="1" s="1"/>
  <c r="H12" i="1" s="1"/>
  <c r="M12" i="1" s="1"/>
  <c r="D8" i="1"/>
  <c r="AE8" i="1" s="1"/>
  <c r="D11" i="1"/>
  <c r="AE11" i="1" s="1"/>
  <c r="D7" i="1"/>
  <c r="AE7" i="1" s="1"/>
  <c r="D10" i="1"/>
  <c r="G10" i="1" s="1"/>
  <c r="N10" i="1" s="1"/>
  <c r="S10" i="1" s="1"/>
  <c r="D6" i="1"/>
  <c r="AE6" i="1" s="1"/>
  <c r="J6" i="1"/>
  <c r="L6" i="1" s="1"/>
  <c r="J10" i="1" s="1"/>
  <c r="P11" i="1" l="1"/>
  <c r="Q11" i="1" s="1"/>
  <c r="P12" i="1"/>
  <c r="N12" i="1"/>
  <c r="S13" i="1"/>
  <c r="W6" i="1"/>
  <c r="W7" i="1"/>
  <c r="W8" i="1"/>
  <c r="M13" i="1"/>
  <c r="T13" i="1"/>
  <c r="Y13" i="1" s="1"/>
  <c r="T10" i="1"/>
  <c r="W10" i="1"/>
  <c r="Q13" i="1"/>
  <c r="Q12" i="1"/>
  <c r="Y10" i="1"/>
  <c r="H10" i="1"/>
  <c r="M10" i="1" s="1"/>
  <c r="T12" i="1"/>
  <c r="Y12" i="1" s="1"/>
  <c r="K10" i="1"/>
  <c r="AE13" i="1"/>
  <c r="G9" i="1"/>
  <c r="G8" i="1"/>
  <c r="AE12" i="1"/>
  <c r="K6" i="1"/>
  <c r="G6" i="1"/>
  <c r="G11" i="1"/>
  <c r="G7" i="1"/>
  <c r="AE10" i="1"/>
  <c r="BJ2" i="2"/>
  <c r="BI2" i="2"/>
  <c r="BH2" i="2"/>
  <c r="BG6" i="2"/>
  <c r="BC6" i="2"/>
  <c r="BB6" i="2"/>
  <c r="AY6" i="2"/>
  <c r="AZ6" i="2"/>
  <c r="BA6" i="2"/>
  <c r="AR6" i="2"/>
  <c r="AS6" i="2"/>
  <c r="AT6" i="2"/>
  <c r="AU6" i="2"/>
  <c r="AV6" i="2"/>
  <c r="AW6" i="2"/>
  <c r="AX6" i="2"/>
  <c r="AN6" i="2"/>
  <c r="AO6" i="2"/>
  <c r="AP6" i="2"/>
  <c r="AQ6" i="2"/>
  <c r="AI6" i="2"/>
  <c r="AJ6" i="2"/>
  <c r="AK6" i="2"/>
  <c r="AL6" i="2"/>
  <c r="AM6" i="2"/>
  <c r="AE6" i="2"/>
  <c r="AF6" i="2"/>
  <c r="AG6" i="2"/>
  <c r="AH6" i="2"/>
  <c r="X6" i="2"/>
  <c r="Y6" i="2"/>
  <c r="Z6" i="2"/>
  <c r="AA6" i="2"/>
  <c r="AB6" i="2"/>
  <c r="AC6" i="2"/>
  <c r="AD6" i="2"/>
  <c r="U6" i="2"/>
  <c r="V6" i="2"/>
  <c r="W6" i="2"/>
  <c r="Q6" i="2"/>
  <c r="R6" i="2"/>
  <c r="S6" i="2"/>
  <c r="T6" i="2"/>
  <c r="P6" i="2"/>
  <c r="C6" i="2"/>
  <c r="D6" i="2"/>
  <c r="E6" i="2"/>
  <c r="F6" i="2"/>
  <c r="G6" i="2"/>
  <c r="H6" i="2"/>
  <c r="I6" i="2"/>
  <c r="J6" i="2"/>
  <c r="K6" i="2"/>
  <c r="L6" i="2"/>
  <c r="M6" i="2"/>
  <c r="N6" i="2"/>
  <c r="O6" i="2"/>
  <c r="B6" i="2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C1" i="2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S12" i="1" l="1"/>
  <c r="H8" i="1"/>
  <c r="M8" i="1" s="1"/>
  <c r="T8" i="1"/>
  <c r="Y8" i="1" s="1"/>
  <c r="N8" i="1"/>
  <c r="S8" i="1" s="1"/>
  <c r="T9" i="1"/>
  <c r="Y9" i="1" s="1"/>
  <c r="N9" i="1"/>
  <c r="S9" i="1" s="1"/>
  <c r="H9" i="1"/>
  <c r="M9" i="1" s="1"/>
  <c r="N7" i="1"/>
  <c r="S7" i="1" s="1"/>
  <c r="H7" i="1"/>
  <c r="M7" i="1" s="1"/>
  <c r="T7" i="1"/>
  <c r="Y7" i="1" s="1"/>
  <c r="T11" i="1"/>
  <c r="Y11" i="1" s="1"/>
  <c r="N11" i="1"/>
  <c r="S11" i="1" s="1"/>
  <c r="H11" i="1"/>
  <c r="M11" i="1" s="1"/>
  <c r="H6" i="1"/>
  <c r="M6" i="1" s="1"/>
  <c r="T6" i="1"/>
  <c r="Y6" i="1" s="1"/>
  <c r="N6" i="1"/>
  <c r="S6" i="1" s="1"/>
  <c r="Z13" i="1" l="1"/>
  <c r="Z12" i="1"/>
  <c r="Z10" i="1"/>
  <c r="Z8" i="1"/>
  <c r="AB8" i="1" s="1"/>
  <c r="Z9" i="1"/>
  <c r="AB9" i="1" s="1"/>
  <c r="Z7" i="1"/>
  <c r="AB7" i="1" s="1"/>
  <c r="Z11" i="1"/>
  <c r="AD9" i="1" l="1"/>
  <c r="AA13" i="1"/>
  <c r="AB13" i="1" s="1"/>
  <c r="AD13" i="1" s="1"/>
  <c r="AD8" i="1"/>
  <c r="AA12" i="1"/>
  <c r="AB12" i="1" s="1"/>
  <c r="AD12" i="1" s="1"/>
  <c r="AD7" i="1"/>
  <c r="AA11" i="1"/>
  <c r="AB11" i="1" s="1"/>
  <c r="AD11" i="1" s="1"/>
  <c r="Z6" i="1"/>
  <c r="AB6" i="1" s="1"/>
  <c r="AD6" i="1" l="1"/>
  <c r="AA10" i="1"/>
  <c r="AB10" i="1" s="1"/>
  <c r="AD10" i="1" s="1"/>
</calcChain>
</file>

<file path=xl/sharedStrings.xml><?xml version="1.0" encoding="utf-8"?>
<sst xmlns="http://schemas.openxmlformats.org/spreadsheetml/2006/main" count="61" uniqueCount="42">
  <si>
    <t>公司名称</t>
    <phoneticPr fontId="2" type="noConversion"/>
  </si>
  <si>
    <t>光棒产能(吨)</t>
    <phoneticPr fontId="2" type="noConversion"/>
  </si>
  <si>
    <t>稼动率</t>
    <phoneticPr fontId="2" type="noConversion"/>
  </si>
  <si>
    <t>棒纤转化率</t>
    <phoneticPr fontId="2" type="noConversion"/>
  </si>
  <si>
    <t>可拉光纤(万芯公里)</t>
    <phoneticPr fontId="2" type="noConversion"/>
  </si>
  <si>
    <t>产量(万芯公里)</t>
    <phoneticPr fontId="2" type="noConversion"/>
  </si>
  <si>
    <t>利润弹性(亿元)</t>
    <phoneticPr fontId="2" type="noConversion"/>
  </si>
  <si>
    <t>长飞光纤</t>
    <phoneticPr fontId="2" type="noConversion"/>
  </si>
  <si>
    <t>3.5万芯公里/吨</t>
    <phoneticPr fontId="2" type="noConversion"/>
  </si>
  <si>
    <t>亨通光电</t>
    <phoneticPr fontId="2" type="noConversion"/>
  </si>
  <si>
    <t>中天科技</t>
    <phoneticPr fontId="2" type="noConversion"/>
  </si>
  <si>
    <t>烽火通信</t>
    <phoneticPr fontId="2" type="noConversion"/>
  </si>
  <si>
    <t>利润总弹性(亿元)</t>
    <phoneticPr fontId="2" type="noConversion"/>
  </si>
  <si>
    <t>当前市值(亿人民币)</t>
    <phoneticPr fontId="2" type="noConversion"/>
  </si>
  <si>
    <t>不含税价格</t>
    <phoneticPr fontId="2" type="noConversion"/>
  </si>
  <si>
    <t>含税价格(元)</t>
    <phoneticPr fontId="2" type="noConversion"/>
  </si>
  <si>
    <t>2019年4月1日起增值税率由17%调整为13%</t>
    <phoneticPr fontId="2" type="noConversion"/>
  </si>
  <si>
    <t>25年1月</t>
    <phoneticPr fontId="2" type="noConversion"/>
  </si>
  <si>
    <t>25年3月</t>
    <phoneticPr fontId="2" type="noConversion"/>
  </si>
  <si>
    <t>25年5月</t>
    <phoneticPr fontId="2" type="noConversion"/>
  </si>
  <si>
    <t>25年7月</t>
    <phoneticPr fontId="2" type="noConversion"/>
  </si>
  <si>
    <t>25年9月</t>
    <phoneticPr fontId="2" type="noConversion"/>
  </si>
  <si>
    <t>25年11月</t>
    <phoneticPr fontId="2" type="noConversion"/>
  </si>
  <si>
    <t>26年1月18日</t>
    <phoneticPr fontId="2" type="noConversion"/>
  </si>
  <si>
    <t>26年1月22日</t>
    <phoneticPr fontId="2" type="noConversion"/>
  </si>
  <si>
    <t>26年1月25日</t>
    <phoneticPr fontId="2" type="noConversion"/>
  </si>
  <si>
    <t>25年12月31日</t>
    <phoneticPr fontId="2" type="noConversion"/>
  </si>
  <si>
    <t>26年PE</t>
    <phoneticPr fontId="2" type="noConversion"/>
  </si>
  <si>
    <t>市棒比(亿元/吨)</t>
    <phoneticPr fontId="2" type="noConversion"/>
  </si>
  <si>
    <t>备考利润总额(亿元)</t>
    <phoneticPr fontId="2" type="noConversion"/>
  </si>
  <si>
    <t>2026年</t>
    <phoneticPr fontId="2" type="noConversion"/>
  </si>
  <si>
    <t>2027年</t>
    <phoneticPr fontId="2" type="noConversion"/>
  </si>
  <si>
    <t>G.652.D-国内运营商(长协价）</t>
    <phoneticPr fontId="2" type="noConversion"/>
  </si>
  <si>
    <t>年初价格(元/芯公里)</t>
    <phoneticPr fontId="2" type="noConversion"/>
  </si>
  <si>
    <t>预计当年涨幅</t>
    <phoneticPr fontId="2" type="noConversion"/>
  </si>
  <si>
    <t>当年均价(元/芯公里)</t>
    <phoneticPr fontId="2" type="noConversion"/>
  </si>
  <si>
    <t>出货占比</t>
    <phoneticPr fontId="2" type="noConversion"/>
  </si>
  <si>
    <t>年初利润预期(亿元)</t>
    <phoneticPr fontId="2" type="noConversion"/>
  </si>
  <si>
    <t>欧洲运营商&amp;北美CSP&amp;国内CSP(.G.657.A1)</t>
    <phoneticPr fontId="2" type="noConversion"/>
  </si>
  <si>
    <t>无人机光纤&amp;北美CSP(.G.657.A2)</t>
    <phoneticPr fontId="2" type="noConversion"/>
  </si>
  <si>
    <t>注：表格中价格已剔除13%增值税影响；光纤涨价部分所得税率假设为15%；A1/A2产能已考虑损耗；长飞所有产品价格均为长协价，其余公司按现货价计算；长飞市值为H股折合人民币市值；中天亨通27年未考虑海缆等业务利润增长，或低估。</t>
    <phoneticPr fontId="2" type="noConversion"/>
  </si>
  <si>
    <t>四大家光纤光缆业务利润弹性测算（更新时间：2026年6月20日）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</si>
</sst>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&quot;年&quot;m&quot;月&quot;"/>
    <numFmt numFmtId="177" formatCode="yy&quot;年&quot;m&quot;月&quot;dd&quot;日&quot;"/>
  </numFmts>
  <fonts count="11" x14ac:knownFonts="1">
    <font>
      <sz val="11"/>
      <color theme="1"/>
      <name val="等线"/>
      <family val="2"/>
      <scheme val="minor"/>
    </font>
    <font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Arial"/>
      <family val="2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2F75B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176" fontId="7" fillId="0" borderId="2" xfId="0" applyNumberFormat="1" applyFont="1" applyBorder="1" applyAlignment="1">
      <alignment horizontal="right" wrapText="1"/>
    </xf>
    <xf numFmtId="4" fontId="7" fillId="3" borderId="0" xfId="0" applyNumberFormat="1" applyFont="1" applyFill="1"/>
    <xf numFmtId="4" fontId="7" fillId="0" borderId="0" xfId="0" applyNumberFormat="1" applyFont="1"/>
    <xf numFmtId="177" fontId="7" fillId="0" borderId="2" xfId="0" applyNumberFormat="1" applyFont="1" applyBorder="1" applyAlignment="1">
      <alignment horizontal="right" wrapText="1"/>
    </xf>
    <xf numFmtId="176" fontId="8" fillId="0" borderId="2" xfId="0" quotePrefix="1" applyNumberFormat="1" applyFont="1" applyBorder="1" applyAlignment="1">
      <alignment horizontal="right" wrapText="1"/>
    </xf>
    <xf numFmtId="177" fontId="8" fillId="0" borderId="2" xfId="0" quotePrefix="1" applyNumberFormat="1" applyFont="1" applyBorder="1" applyAlignment="1">
      <alignment horizontal="right" wrapText="1"/>
    </xf>
    <xf numFmtId="0" fontId="9" fillId="0" borderId="0" xfId="0" applyFont="1"/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9" fontId="1" fillId="0" borderId="1" xfId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100" b="1">
                <a:latin typeface="微软雅黑" panose="020B0503020204020204" pitchFamily="34" charset="-122"/>
                <a:ea typeface="微软雅黑" panose="020B0503020204020204" pitchFamily="34" charset="-122"/>
              </a:rPr>
              <a:t>中国</a:t>
            </a:r>
            <a:r>
              <a:rPr lang="en-US" altLang="zh-CN" sz="1100" b="1">
                <a:latin typeface="微软雅黑" panose="020B0503020204020204" pitchFamily="34" charset="-122"/>
                <a:ea typeface="微软雅黑" panose="020B0503020204020204" pitchFamily="34" charset="-122"/>
              </a:rPr>
              <a:t>G.652.D</a:t>
            </a:r>
            <a:r>
              <a:rPr lang="zh-CN" altLang="en-US" sz="1100" b="1">
                <a:latin typeface="微软雅黑" panose="020B0503020204020204" pitchFamily="34" charset="-122"/>
                <a:ea typeface="微软雅黑" panose="020B0503020204020204" pitchFamily="34" charset="-122"/>
              </a:rPr>
              <a:t>散纤含税价格</a:t>
            </a:r>
            <a:r>
              <a:rPr lang="en-US" altLang="zh-CN" sz="1100" b="1">
                <a:latin typeface="微软雅黑" panose="020B0503020204020204" pitchFamily="34" charset="-122"/>
                <a:ea typeface="微软雅黑" panose="020B0503020204020204" pitchFamily="34" charset="-122"/>
              </a:rPr>
              <a:t>(</a:t>
            </a:r>
            <a:r>
              <a:rPr lang="zh-CN" altLang="en-US" sz="1100" b="1">
                <a:latin typeface="微软雅黑" panose="020B0503020204020204" pitchFamily="34" charset="-122"/>
                <a:ea typeface="微软雅黑" panose="020B0503020204020204" pitchFamily="34" charset="-122"/>
              </a:rPr>
              <a:t>元</a:t>
            </a:r>
            <a:r>
              <a:rPr lang="en-US" altLang="zh-CN" sz="1100" b="1">
                <a:latin typeface="微软雅黑" panose="020B0503020204020204" pitchFamily="34" charset="-122"/>
                <a:ea typeface="微软雅黑" panose="020B0503020204020204" pitchFamily="34" charset="-122"/>
              </a:rPr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散纤价格!$A$15</c:f>
              <c:strCache>
                <c:ptCount val="1"/>
                <c:pt idx="0">
                  <c:v>含税价格(元)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散纤价格!$B$14:$K$14</c:f>
              <c:strCache>
                <c:ptCount val="10"/>
                <c:pt idx="0">
                  <c:v>25年1月</c:v>
                </c:pt>
                <c:pt idx="1">
                  <c:v>25年3月</c:v>
                </c:pt>
                <c:pt idx="2">
                  <c:v>25年5月</c:v>
                </c:pt>
                <c:pt idx="3">
                  <c:v>25年7月</c:v>
                </c:pt>
                <c:pt idx="4">
                  <c:v>25年9月</c:v>
                </c:pt>
                <c:pt idx="5">
                  <c:v>25年11月</c:v>
                </c:pt>
                <c:pt idx="6">
                  <c:v>25年12月31日</c:v>
                </c:pt>
                <c:pt idx="7">
                  <c:v>26年1月18日</c:v>
                </c:pt>
                <c:pt idx="8">
                  <c:v>26年1月22日</c:v>
                </c:pt>
                <c:pt idx="9">
                  <c:v>26年1月25日</c:v>
                </c:pt>
              </c:strCache>
            </c:strRef>
          </c:cat>
          <c:val>
            <c:numRef>
              <c:f>散纤价格!$B$15:$K$15</c:f>
              <c:numCache>
                <c:formatCode>#,##0.00</c:formatCode>
                <c:ptCount val="10"/>
                <c:pt idx="0">
                  <c:v>18.498100000000001</c:v>
                </c:pt>
                <c:pt idx="1">
                  <c:v>18.193000000000001</c:v>
                </c:pt>
                <c:pt idx="2">
                  <c:v>17.4924</c:v>
                </c:pt>
                <c:pt idx="3">
                  <c:v>17.899199999999997</c:v>
                </c:pt>
                <c:pt idx="4">
                  <c:v>19.503799999999998</c:v>
                </c:pt>
                <c:pt idx="5">
                  <c:v>19.899299999999997</c:v>
                </c:pt>
                <c:pt idx="6">
                  <c:v>23.729999999999997</c:v>
                </c:pt>
                <c:pt idx="7">
                  <c:v>30</c:v>
                </c:pt>
                <c:pt idx="8">
                  <c:v>37</c:v>
                </c:pt>
                <c:pt idx="9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0-444C-8245-5BDC99A4D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003488"/>
        <c:axId val="455009728"/>
      </c:lineChart>
      <c:catAx>
        <c:axId val="45500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455009728"/>
        <c:crosses val="autoZero"/>
        <c:auto val="1"/>
        <c:lblAlgn val="ctr"/>
        <c:lblOffset val="100"/>
        <c:noMultiLvlLbl val="0"/>
      </c:catAx>
      <c:valAx>
        <c:axId val="455009728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45500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中国</a:t>
            </a:r>
            <a:r>
              <a:rPr lang="en-US" altLang="zh-C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G.652.D</a:t>
            </a:r>
            <a:r>
              <a:rPr lang="zh-CN" alt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散纤含税价格</a:t>
            </a:r>
            <a:r>
              <a:rPr lang="en-US" altLang="zh-C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(</a:t>
            </a:r>
            <a:r>
              <a:rPr lang="zh-CN" alt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元</a:t>
            </a:r>
            <a:r>
              <a:rPr lang="en-US" altLang="zh-CN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微软雅黑" panose="020B0503020204020204" pitchFamily="34" charset="-122"/>
                <a:ea typeface="微软雅黑" panose="020B0503020204020204" pitchFamily="34" charset="-122"/>
              </a:rPr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1182179657903946E-2"/>
          <c:y val="0.13701387137576337"/>
          <c:w val="0.93014541579291143"/>
          <c:h val="0.77493270670859526"/>
        </c:manualLayout>
      </c:layout>
      <c:lineChart>
        <c:grouping val="standard"/>
        <c:varyColors val="0"/>
        <c:ser>
          <c:idx val="0"/>
          <c:order val="0"/>
          <c:tx>
            <c:strRef>
              <c:f>散纤价格!$A$6</c:f>
              <c:strCache>
                <c:ptCount val="1"/>
                <c:pt idx="0">
                  <c:v>含税价格(元)</c:v>
                </c:pt>
              </c:strCache>
            </c:strRef>
          </c:tx>
          <c:spPr>
            <a:ln w="28575" cap="rnd">
              <a:solidFill>
                <a:srgbClr val="2F75B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2F75B5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2488629909127835E-2"/>
                  <c:y val="-6.2250736654140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BA-4168-93F7-A0FD0569DC7B}"/>
                </c:ext>
              </c:extLst>
            </c:dLbl>
            <c:dLbl>
              <c:idx val="54"/>
              <c:layout>
                <c:manualLayout>
                  <c:x val="-3.9685817486696334E-2"/>
                  <c:y val="-6.22507366541411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BA-4168-93F7-A0FD0569DC7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zh-CN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散纤价格!$B$5:$BD$5</c:f>
              <c:numCache>
                <c:formatCode>yy"年"m"月"</c:formatCode>
                <c:ptCount val="55"/>
                <c:pt idx="0">
                  <c:v>42736</c:v>
                </c:pt>
                <c:pt idx="1">
                  <c:v>42795</c:v>
                </c:pt>
                <c:pt idx="2">
                  <c:v>42856</c:v>
                </c:pt>
                <c:pt idx="3">
                  <c:v>42917</c:v>
                </c:pt>
                <c:pt idx="4">
                  <c:v>42979</c:v>
                </c:pt>
                <c:pt idx="5">
                  <c:v>43040</c:v>
                </c:pt>
                <c:pt idx="6">
                  <c:v>43101</c:v>
                </c:pt>
                <c:pt idx="7">
                  <c:v>43160</c:v>
                </c:pt>
                <c:pt idx="8">
                  <c:v>43221</c:v>
                </c:pt>
                <c:pt idx="9">
                  <c:v>43282</c:v>
                </c:pt>
                <c:pt idx="10">
                  <c:v>43344</c:v>
                </c:pt>
                <c:pt idx="11">
                  <c:v>43405</c:v>
                </c:pt>
                <c:pt idx="12">
                  <c:v>43466</c:v>
                </c:pt>
                <c:pt idx="13">
                  <c:v>43525</c:v>
                </c:pt>
                <c:pt idx="14">
                  <c:v>43586</c:v>
                </c:pt>
                <c:pt idx="15">
                  <c:v>43647</c:v>
                </c:pt>
                <c:pt idx="16">
                  <c:v>43709</c:v>
                </c:pt>
                <c:pt idx="17">
                  <c:v>43770</c:v>
                </c:pt>
                <c:pt idx="18">
                  <c:v>43831</c:v>
                </c:pt>
                <c:pt idx="19">
                  <c:v>43891</c:v>
                </c:pt>
                <c:pt idx="20">
                  <c:v>43952</c:v>
                </c:pt>
                <c:pt idx="21">
                  <c:v>44013</c:v>
                </c:pt>
                <c:pt idx="22">
                  <c:v>44075</c:v>
                </c:pt>
                <c:pt idx="23">
                  <c:v>44136</c:v>
                </c:pt>
                <c:pt idx="24">
                  <c:v>44197</c:v>
                </c:pt>
                <c:pt idx="25">
                  <c:v>44256</c:v>
                </c:pt>
                <c:pt idx="26">
                  <c:v>44317</c:v>
                </c:pt>
                <c:pt idx="27">
                  <c:v>44378</c:v>
                </c:pt>
                <c:pt idx="28">
                  <c:v>44440</c:v>
                </c:pt>
                <c:pt idx="29">
                  <c:v>44501</c:v>
                </c:pt>
                <c:pt idx="30">
                  <c:v>44562</c:v>
                </c:pt>
                <c:pt idx="31">
                  <c:v>44621</c:v>
                </c:pt>
                <c:pt idx="32">
                  <c:v>44682</c:v>
                </c:pt>
                <c:pt idx="33">
                  <c:v>44743</c:v>
                </c:pt>
                <c:pt idx="34">
                  <c:v>44805</c:v>
                </c:pt>
                <c:pt idx="35">
                  <c:v>44866</c:v>
                </c:pt>
                <c:pt idx="36">
                  <c:v>44927</c:v>
                </c:pt>
                <c:pt idx="37">
                  <c:v>44986</c:v>
                </c:pt>
                <c:pt idx="38">
                  <c:v>45047</c:v>
                </c:pt>
                <c:pt idx="39">
                  <c:v>45108</c:v>
                </c:pt>
                <c:pt idx="40">
                  <c:v>45170</c:v>
                </c:pt>
                <c:pt idx="41">
                  <c:v>45231</c:v>
                </c:pt>
                <c:pt idx="42">
                  <c:v>45292</c:v>
                </c:pt>
                <c:pt idx="43">
                  <c:v>45352</c:v>
                </c:pt>
                <c:pt idx="44">
                  <c:v>45413</c:v>
                </c:pt>
                <c:pt idx="45">
                  <c:v>45474</c:v>
                </c:pt>
                <c:pt idx="46">
                  <c:v>45536</c:v>
                </c:pt>
                <c:pt idx="47">
                  <c:v>45597</c:v>
                </c:pt>
                <c:pt idx="48">
                  <c:v>45658</c:v>
                </c:pt>
                <c:pt idx="49">
                  <c:v>45717</c:v>
                </c:pt>
                <c:pt idx="50">
                  <c:v>45778</c:v>
                </c:pt>
                <c:pt idx="51">
                  <c:v>45839</c:v>
                </c:pt>
                <c:pt idx="52">
                  <c:v>45901</c:v>
                </c:pt>
                <c:pt idx="53">
                  <c:v>45962</c:v>
                </c:pt>
                <c:pt idx="54">
                  <c:v>46023</c:v>
                </c:pt>
              </c:numCache>
            </c:numRef>
          </c:cat>
          <c:val>
            <c:numRef>
              <c:f>散纤价格!$B$6:$BD$6</c:f>
              <c:numCache>
                <c:formatCode>#,##0.00</c:formatCode>
                <c:ptCount val="55"/>
                <c:pt idx="0">
                  <c:v>70.902000000000001</c:v>
                </c:pt>
                <c:pt idx="1">
                  <c:v>72.539999999999992</c:v>
                </c:pt>
                <c:pt idx="2">
                  <c:v>78.039000000000001</c:v>
                </c:pt>
                <c:pt idx="3">
                  <c:v>86.58</c:v>
                </c:pt>
                <c:pt idx="4">
                  <c:v>86.463000000000008</c:v>
                </c:pt>
                <c:pt idx="5">
                  <c:v>85.878</c:v>
                </c:pt>
                <c:pt idx="6">
                  <c:v>90.558000000000007</c:v>
                </c:pt>
                <c:pt idx="7">
                  <c:v>90.323999999999998</c:v>
                </c:pt>
                <c:pt idx="8">
                  <c:v>92.195999999999998</c:v>
                </c:pt>
                <c:pt idx="9">
                  <c:v>87.632999999999996</c:v>
                </c:pt>
                <c:pt idx="10">
                  <c:v>77.103000000000009</c:v>
                </c:pt>
                <c:pt idx="11">
                  <c:v>61.892999999999994</c:v>
                </c:pt>
                <c:pt idx="12">
                  <c:v>58.031999999999996</c:v>
                </c:pt>
                <c:pt idx="13">
                  <c:v>49.490999999999993</c:v>
                </c:pt>
                <c:pt idx="14">
                  <c:v>38.193999999999996</c:v>
                </c:pt>
                <c:pt idx="15">
                  <c:v>35.029999999999994</c:v>
                </c:pt>
                <c:pt idx="16">
                  <c:v>33.9</c:v>
                </c:pt>
                <c:pt idx="17">
                  <c:v>31.753</c:v>
                </c:pt>
                <c:pt idx="18">
                  <c:v>28.249999999999996</c:v>
                </c:pt>
                <c:pt idx="19">
                  <c:v>28.023999999999997</c:v>
                </c:pt>
                <c:pt idx="20">
                  <c:v>28.249999999999996</c:v>
                </c:pt>
                <c:pt idx="21">
                  <c:v>28.363</c:v>
                </c:pt>
                <c:pt idx="22">
                  <c:v>22.260999999999996</c:v>
                </c:pt>
                <c:pt idx="23">
                  <c:v>20.791999999999998</c:v>
                </c:pt>
                <c:pt idx="24">
                  <c:v>19.661999999999995</c:v>
                </c:pt>
                <c:pt idx="25">
                  <c:v>20.000999999999998</c:v>
                </c:pt>
                <c:pt idx="26">
                  <c:v>21.582999999999998</c:v>
                </c:pt>
                <c:pt idx="27">
                  <c:v>23.390999999999998</c:v>
                </c:pt>
                <c:pt idx="28">
                  <c:v>24.068999999999999</c:v>
                </c:pt>
                <c:pt idx="29">
                  <c:v>29.492999999999999</c:v>
                </c:pt>
                <c:pt idx="30">
                  <c:v>30.170999999999996</c:v>
                </c:pt>
                <c:pt idx="31">
                  <c:v>29.944999999999997</c:v>
                </c:pt>
                <c:pt idx="32">
                  <c:v>32.543999999999997</c:v>
                </c:pt>
                <c:pt idx="33">
                  <c:v>34.012999999999998</c:v>
                </c:pt>
                <c:pt idx="34">
                  <c:v>34.012999999999998</c:v>
                </c:pt>
                <c:pt idx="35">
                  <c:v>34.012999999999998</c:v>
                </c:pt>
                <c:pt idx="36">
                  <c:v>32.543999999999997</c:v>
                </c:pt>
                <c:pt idx="37">
                  <c:v>32.543999999999997</c:v>
                </c:pt>
                <c:pt idx="38">
                  <c:v>30.961999999999996</c:v>
                </c:pt>
                <c:pt idx="39">
                  <c:v>29.492999999999999</c:v>
                </c:pt>
                <c:pt idx="40">
                  <c:v>27.006999999999994</c:v>
                </c:pt>
                <c:pt idx="41">
                  <c:v>22.034999999999997</c:v>
                </c:pt>
                <c:pt idx="42">
                  <c:v>19.548999999999999</c:v>
                </c:pt>
                <c:pt idx="43">
                  <c:v>19.548999999999999</c:v>
                </c:pt>
                <c:pt idx="44">
                  <c:v>19.548999999999999</c:v>
                </c:pt>
                <c:pt idx="45">
                  <c:v>18.419</c:v>
                </c:pt>
                <c:pt idx="46">
                  <c:v>18.531999999999996</c:v>
                </c:pt>
                <c:pt idx="47">
                  <c:v>18.419</c:v>
                </c:pt>
                <c:pt idx="48">
                  <c:v>18.498100000000001</c:v>
                </c:pt>
                <c:pt idx="49">
                  <c:v>18.193000000000001</c:v>
                </c:pt>
                <c:pt idx="50">
                  <c:v>17.4924</c:v>
                </c:pt>
                <c:pt idx="51">
                  <c:v>17.899199999999997</c:v>
                </c:pt>
                <c:pt idx="52">
                  <c:v>19.503799999999998</c:v>
                </c:pt>
                <c:pt idx="53">
                  <c:v>19.899299999999997</c:v>
                </c:pt>
                <c:pt idx="5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A-4168-93F7-A0FD0569D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821440"/>
        <c:axId val="1065826720"/>
      </c:lineChart>
      <c:dateAx>
        <c:axId val="1065821440"/>
        <c:scaling>
          <c:orientation val="minMax"/>
        </c:scaling>
        <c:delete val="0"/>
        <c:axPos val="b"/>
        <c:numFmt formatCode="yy&quot;年&quot;m&quot;月&quot;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  <a:endParaRPr lang="zh-CN"/>
          </a:p>
        </c:txPr>
        <c:crossAx val="1065826720"/>
        <c:crosses val="autoZero"/>
        <c:auto val="1"/>
        <c:lblOffset val="100"/>
        <c:baseTimeUnit val="months"/>
        <c:majorUnit val="8"/>
        <c:majorTimeUnit val="months"/>
        <c:minorUnit val="4"/>
        <c:minorTimeUnit val="months"/>
      </c:dateAx>
      <c:valAx>
        <c:axId val="1065826720"/>
        <c:scaling>
          <c:orientation val="minMax"/>
          <c:max val="95"/>
          <c:min val="15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zh-CN"/>
          </a:p>
        </c:txPr>
        <c:crossAx val="106582144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325437</xdr:colOff>
      <xdr:row>17</xdr:row>
      <xdr:rowOff>76992</xdr:rowOff>
    </xdr:from>
    <xdr:to>
      <xdr:col>8</xdr:col>
      <xdr:colOff>47625</xdr:colOff>
      <xdr:row>36</xdr:row>
      <xdr:rowOff>30161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7D2F63F0-9F7F-8363-7731-C33D9FACB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611188</xdr:colOff>
      <xdr:row>17</xdr:row>
      <xdr:rowOff>15476</xdr:rowOff>
    </xdr:from>
    <xdr:to>
      <xdr:col>16</xdr:col>
      <xdr:colOff>484186</xdr:colOff>
      <xdr:row>44</xdr:row>
      <xdr:rowOff>130968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D0DBFD4-7F67-9DFB-025B-B17A19054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0.24721</cdr:x>
      <cdr:y>0.16934</cdr:y>
    </cdr:from>
    <cdr:to>
      <cdr:x>0.92518</cdr:x>
      <cdr:y>0.43293</cdr:y>
    </cdr:to>
    <cdr:sp macro="" textlink="">
      <cdr:nvSpPr>
        <cdr:cNvPr id="2" name="矩形 1">
          <a:extLst xmlns:a="http://schemas.openxmlformats.org/drawingml/2006/main">
            <a:ext uri="{FF2B5EF4-FFF2-40B4-BE49-F238E27FC236}">
              <a16:creationId xmlns:a16="http://schemas.microsoft.com/office/drawing/2014/main" id="{511CBE2A-CF5C-61D6-50DC-911807AF48A5}"/>
            </a:ext>
          </a:extLst>
        </cdr:cNvPr>
        <cdr:cNvSpPr/>
      </cdr:nvSpPr>
      <cdr:spPr>
        <a:xfrm xmlns:a="http://schemas.openxmlformats.org/drawingml/2006/main">
          <a:off x="2373317" y="690953"/>
          <a:ext cx="6508788" cy="1075539"/>
        </a:xfrm>
        <a:prstGeom xmlns:a="http://schemas.openxmlformats.org/drawingml/2006/main" prst="rect">
          <a:avLst/>
        </a:prstGeom>
        <a:solidFill xmlns:a="http://schemas.openxmlformats.org/drawingml/2006/main">
          <a:srgbClr val="2F75B5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zh-CN" altLang="en-US" b="1" kern="1200"/>
            <a:t>很多人觉得散纤价格已经涨到天上了，实际上离历史高点还差得远，</a:t>
          </a:r>
          <a:endParaRPr lang="en-US" altLang="zh-CN" b="1" kern="1200"/>
        </a:p>
        <a:p xmlns:a="http://schemas.openxmlformats.org/drawingml/2006/main">
          <a:r>
            <a:rPr lang="zh-CN" altLang="en-US" b="1" kern="1200"/>
            <a:t>更何况上一轮的高点仅仅由电信需求驱动，这一轮则是北美</a:t>
          </a:r>
          <a:r>
            <a:rPr lang="en-US" altLang="zh-CN" b="1" kern="1200"/>
            <a:t>AI</a:t>
          </a:r>
          <a:r>
            <a:rPr lang="zh-CN" altLang="en-US" b="1" kern="1200"/>
            <a:t>驱动，</a:t>
          </a:r>
          <a:endParaRPr lang="en-US" altLang="zh-CN" b="1" kern="1200"/>
        </a:p>
        <a:p xmlns:a="http://schemas.openxmlformats.org/drawingml/2006/main">
          <a:r>
            <a:rPr lang="zh-CN" altLang="en-US" b="1" kern="1200"/>
            <a:t>任何由</a:t>
          </a:r>
          <a:r>
            <a:rPr lang="en-US" altLang="zh-CN" b="1" kern="1200"/>
            <a:t>AI</a:t>
          </a:r>
          <a:r>
            <a:rPr lang="zh-CN" altLang="en-US" b="1" kern="1200"/>
            <a:t>驱动的涨价品种，或许都会涨到你看不懂的高度，而且后续</a:t>
          </a:r>
          <a:r>
            <a:rPr lang="en-US" altLang="zh-CN" b="1" kern="1200"/>
            <a:t>CPO/DCI/OCS</a:t>
          </a:r>
          <a:r>
            <a:rPr lang="zh-CN" altLang="en-US" b="1" kern="1200"/>
            <a:t>对光纤都是量价齐升逻辑，</a:t>
          </a:r>
          <a:endParaRPr lang="en-US" altLang="zh-CN" b="1" kern="1200"/>
        </a:p>
        <a:p xmlns:a="http://schemas.openxmlformats.org/drawingml/2006/main">
          <a:r>
            <a:rPr lang="zh-CN" altLang="en-US" b="1" kern="1200"/>
            <a:t>光纤不用碰瓷存储，它就是通信板块逻辑最顺的涨价品种，</a:t>
          </a:r>
          <a:endParaRPr lang="en-US" altLang="zh-CN" b="1" kern="1200"/>
        </a:p>
        <a:p xmlns:a="http://schemas.openxmlformats.org/drawingml/2006/main">
          <a:r>
            <a:rPr lang="zh-CN" altLang="en-US" b="1" kern="1200"/>
            <a:t>最关键的是，光纤板块不吵架。</a:t>
          </a:r>
          <a:endParaRPr lang="en-US" altLang="zh-CN" b="1" kern="1200"/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BCE5-EBB5-468A-B31B-CB0A630FC98F}">
  <dimension ref="B3:AE19"/>
  <sheetViews>
    <sheetView tabSelected="1" zoomScale="75" zoomScaleNormal="70" workbookViewId="0">
      <selection activeCell="B3" sqref="B3:AE14"/>
    </sheetView>
  </sheetViews>
  <sheetFormatPr defaultRowHeight="15" x14ac:dyDescent="0.4"/>
  <cols>
    <col min="1" max="3" width="9.06640625" style="1"/>
    <col min="4" max="4" width="8" style="1" customWidth="1"/>
    <col min="5" max="5" width="5.9296875" style="1" customWidth="1"/>
    <col min="6" max="6" width="7.1328125" style="1" customWidth="1"/>
    <col min="7" max="7" width="7.6640625" style="1" customWidth="1"/>
    <col min="8" max="8" width="7.33203125" style="1" customWidth="1"/>
    <col min="9" max="9" width="5.9296875" style="1" customWidth="1"/>
    <col min="10" max="10" width="8.265625" style="1" customWidth="1"/>
    <col min="11" max="11" width="7.6640625" style="1" customWidth="1"/>
    <col min="12" max="12" width="8.19921875" style="1" customWidth="1"/>
    <col min="13" max="13" width="8.9296875" style="1" customWidth="1"/>
    <col min="14" max="14" width="9.19921875" style="1" customWidth="1"/>
    <col min="15" max="15" width="5.3984375" style="1" customWidth="1"/>
    <col min="16" max="16" width="7.6640625" style="1" customWidth="1"/>
    <col min="17" max="17" width="7.46484375" style="1" customWidth="1"/>
    <col min="18" max="18" width="8.46484375" style="1" customWidth="1"/>
    <col min="19" max="19" width="9.46484375" style="1" customWidth="1"/>
    <col min="20" max="20" width="8.06640625" style="1" customWidth="1"/>
    <col min="21" max="21" width="6.53125" style="1" bestFit="1" customWidth="1"/>
    <col min="22" max="22" width="7.59765625" style="1" customWidth="1"/>
    <col min="23" max="23" width="7.86328125" style="1" customWidth="1"/>
    <col min="24" max="24" width="8.53125" style="1" customWidth="1"/>
    <col min="25" max="25" width="8.86328125" style="1" customWidth="1"/>
    <col min="26" max="26" width="8.3984375" style="1" customWidth="1"/>
    <col min="27" max="27" width="8.53125" style="1" customWidth="1"/>
    <col min="28" max="28" width="7.6640625" style="1" customWidth="1"/>
    <col min="29" max="29" width="6.73046875" style="1" customWidth="1"/>
    <col min="30" max="30" width="5.46484375" style="1" customWidth="1"/>
    <col min="31" max="31" width="8" style="1" customWidth="1"/>
    <col min="32" max="16384" width="9.06640625" style="1"/>
  </cols>
  <sheetData>
    <row r="3" spans="2:31" ht="15" customHeight="1" x14ac:dyDescent="0.4">
      <c r="B3" s="20" t="s">
        <v>41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2:31" ht="15" customHeight="1" x14ac:dyDescent="0.4">
      <c r="B4" s="21" t="s">
        <v>0</v>
      </c>
      <c r="C4" s="21" t="s">
        <v>0</v>
      </c>
      <c r="D4" s="21" t="s">
        <v>1</v>
      </c>
      <c r="E4" s="21" t="s">
        <v>2</v>
      </c>
      <c r="F4" s="21" t="s">
        <v>3</v>
      </c>
      <c r="G4" s="21" t="s">
        <v>4</v>
      </c>
      <c r="H4" s="28" t="s">
        <v>32</v>
      </c>
      <c r="I4" s="28"/>
      <c r="J4" s="28"/>
      <c r="K4" s="28"/>
      <c r="L4" s="28"/>
      <c r="M4" s="28"/>
      <c r="N4" s="28" t="s">
        <v>39</v>
      </c>
      <c r="O4" s="28"/>
      <c r="P4" s="28"/>
      <c r="Q4" s="28"/>
      <c r="R4" s="28"/>
      <c r="S4" s="28"/>
      <c r="T4" s="28" t="s">
        <v>38</v>
      </c>
      <c r="U4" s="28"/>
      <c r="V4" s="28"/>
      <c r="W4" s="28"/>
      <c r="X4" s="28"/>
      <c r="Y4" s="28"/>
      <c r="Z4" s="24" t="s">
        <v>12</v>
      </c>
      <c r="AA4" s="21" t="s">
        <v>37</v>
      </c>
      <c r="AB4" s="24" t="s">
        <v>29</v>
      </c>
      <c r="AC4" s="24" t="s">
        <v>13</v>
      </c>
      <c r="AD4" s="24" t="s">
        <v>27</v>
      </c>
      <c r="AE4" s="24" t="s">
        <v>28</v>
      </c>
    </row>
    <row r="5" spans="2:31" ht="47.25" x14ac:dyDescent="0.4">
      <c r="B5" s="21"/>
      <c r="C5" s="21"/>
      <c r="D5" s="21"/>
      <c r="E5" s="21"/>
      <c r="F5" s="21"/>
      <c r="G5" s="21"/>
      <c r="H5" s="5" t="s">
        <v>5</v>
      </c>
      <c r="I5" s="5" t="s">
        <v>36</v>
      </c>
      <c r="J5" s="5" t="s">
        <v>33</v>
      </c>
      <c r="K5" s="5" t="s">
        <v>34</v>
      </c>
      <c r="L5" s="5" t="s">
        <v>35</v>
      </c>
      <c r="M5" s="5" t="s">
        <v>6</v>
      </c>
      <c r="N5" s="5" t="s">
        <v>5</v>
      </c>
      <c r="O5" s="5" t="s">
        <v>36</v>
      </c>
      <c r="P5" s="5" t="s">
        <v>33</v>
      </c>
      <c r="Q5" s="5" t="s">
        <v>34</v>
      </c>
      <c r="R5" s="5" t="s">
        <v>35</v>
      </c>
      <c r="S5" s="5" t="s">
        <v>6</v>
      </c>
      <c r="T5" s="5" t="s">
        <v>5</v>
      </c>
      <c r="U5" s="5" t="s">
        <v>36</v>
      </c>
      <c r="V5" s="5" t="s">
        <v>33</v>
      </c>
      <c r="W5" s="5" t="s">
        <v>34</v>
      </c>
      <c r="X5" s="5" t="s">
        <v>35</v>
      </c>
      <c r="Y5" s="5" t="s">
        <v>6</v>
      </c>
      <c r="Z5" s="24"/>
      <c r="AA5" s="21"/>
      <c r="AB5" s="24"/>
      <c r="AC5" s="24"/>
      <c r="AD5" s="24"/>
      <c r="AE5" s="24"/>
    </row>
    <row r="6" spans="2:31" ht="15.75" x14ac:dyDescent="0.4">
      <c r="B6" s="28" t="s">
        <v>30</v>
      </c>
      <c r="C6" s="16" t="s">
        <v>7</v>
      </c>
      <c r="D6" s="2">
        <f>(4000+4500)/2</f>
        <v>4250</v>
      </c>
      <c r="E6" s="3">
        <v>0.95</v>
      </c>
      <c r="F6" s="23" t="s">
        <v>8</v>
      </c>
      <c r="G6" s="17">
        <f t="shared" ref="G6:G13" si="0">D6*3.5*E6</f>
        <v>14131.25</v>
      </c>
      <c r="H6" s="2">
        <f t="shared" ref="H6:H13" si="1">G6*I6</f>
        <v>4239.375</v>
      </c>
      <c r="I6" s="3">
        <v>0.3</v>
      </c>
      <c r="J6" s="19">
        <f>18.85/1.13</f>
        <v>16.681415929203542</v>
      </c>
      <c r="K6" s="22">
        <f>L6/J6-1</f>
        <v>2.3597922192749774</v>
      </c>
      <c r="L6" s="19">
        <f>(2500-750)/24*0.7+J6*0.3</f>
        <v>56.046091445427727</v>
      </c>
      <c r="M6" s="4">
        <f>H6*($L$6-$J$6)/10000</f>
        <v>16.688162126659286</v>
      </c>
      <c r="N6" s="17">
        <f t="shared" ref="N6:N13" si="2">G6*O6*3.1/3.5</f>
        <v>1251.625</v>
      </c>
      <c r="O6" s="18">
        <v>0.1</v>
      </c>
      <c r="P6" s="19">
        <f>35/1.13</f>
        <v>30.973451327433633</v>
      </c>
      <c r="Q6" s="18">
        <f>R6/$P$6-1</f>
        <v>3.8571428571428568</v>
      </c>
      <c r="R6" s="4">
        <f>25*6.8/1.13</f>
        <v>150.44247787610621</v>
      </c>
      <c r="S6" s="4">
        <f>N6*($R6-$P$6)/10000</f>
        <v>14.95304203539823</v>
      </c>
      <c r="T6" s="17">
        <f>G6*U6*3.3/3.5</f>
        <v>7994.25</v>
      </c>
      <c r="U6" s="18">
        <f t="shared" ref="U6:U13" si="3">1-I6-O6</f>
        <v>0.6</v>
      </c>
      <c r="V6" s="19">
        <f>24/1.12</f>
        <v>21.428571428571427</v>
      </c>
      <c r="W6" s="18">
        <f>X6/$V$6-1</f>
        <v>3.2123893805309738</v>
      </c>
      <c r="X6" s="4">
        <f>15*6.8/1.13</f>
        <v>90.26548672566372</v>
      </c>
      <c r="Y6" s="4">
        <f>T6*($X6-$V$6)/10000</f>
        <v>55.029951011378003</v>
      </c>
      <c r="Z6" s="6">
        <f t="shared" ref="Z6:Z13" si="4">(M6+S6+Y6)*0.85</f>
        <v>73.670481897420188</v>
      </c>
      <c r="AA6" s="4">
        <v>13.541478452380799</v>
      </c>
      <c r="AB6" s="6">
        <f t="shared" ref="AB6:AB13" si="5">Z6+AA6</f>
        <v>87.211960349800989</v>
      </c>
      <c r="AC6" s="15">
        <v>1568</v>
      </c>
      <c r="AD6" s="15">
        <f t="shared" ref="AD6:AD13" si="6">AC6/AB6</f>
        <v>17.979185351537371</v>
      </c>
      <c r="AE6" s="6">
        <f t="shared" ref="AE6:AE13" si="7">AC6/D6</f>
        <v>0.36894117647058822</v>
      </c>
    </row>
    <row r="7" spans="2:31" ht="15.75" x14ac:dyDescent="0.4">
      <c r="B7" s="28"/>
      <c r="C7" s="16" t="s">
        <v>9</v>
      </c>
      <c r="D7" s="2">
        <f>(2800+3200)/2</f>
        <v>3000</v>
      </c>
      <c r="E7" s="3">
        <v>0.95</v>
      </c>
      <c r="F7" s="23"/>
      <c r="G7" s="17">
        <f t="shared" si="0"/>
        <v>9975</v>
      </c>
      <c r="H7" s="2">
        <f t="shared" si="1"/>
        <v>1995</v>
      </c>
      <c r="I7" s="3">
        <v>0.2</v>
      </c>
      <c r="J7" s="19"/>
      <c r="K7" s="22"/>
      <c r="L7" s="19"/>
      <c r="M7" s="4">
        <f>H7*($L$6-$J$6)/10000</f>
        <v>7.8532527654867241</v>
      </c>
      <c r="N7" s="17">
        <f t="shared" si="2"/>
        <v>4417.5</v>
      </c>
      <c r="O7" s="18">
        <v>0.5</v>
      </c>
      <c r="P7" s="19"/>
      <c r="Q7" s="18">
        <f>R7/$P$6-1</f>
        <v>4.761904761904761</v>
      </c>
      <c r="R7" s="4">
        <f>(210*4/12+230*6/12+100*2/12)/1.13</f>
        <v>178.4660766961652</v>
      </c>
      <c r="S7" s="4">
        <f>N7*($R7-$P$6)/10000</f>
        <v>65.154867256637175</v>
      </c>
      <c r="T7" s="17">
        <f t="shared" ref="T7:T13" si="8">G7*U7*3.3/3.5</f>
        <v>2821.5000000000005</v>
      </c>
      <c r="U7" s="18">
        <f t="shared" si="3"/>
        <v>0.30000000000000004</v>
      </c>
      <c r="V7" s="19"/>
      <c r="W7" s="18">
        <f>X7/$V$6-1</f>
        <v>4.8161258603736492</v>
      </c>
      <c r="X7" s="4">
        <f>(150*4/12+165*6/12+50*2/12)/1.13</f>
        <v>124.6312684365782</v>
      </c>
      <c r="Y7" s="4">
        <f>T7*($X7-$V$6)/10000</f>
        <v>29.11864096080911</v>
      </c>
      <c r="Z7" s="6">
        <f t="shared" si="4"/>
        <v>86.807746835493049</v>
      </c>
      <c r="AA7" s="4">
        <v>37.54</v>
      </c>
      <c r="AB7" s="6">
        <f t="shared" si="5"/>
        <v>124.34774683549304</v>
      </c>
      <c r="AC7" s="15">
        <v>2738</v>
      </c>
      <c r="AD7" s="15">
        <f t="shared" si="6"/>
        <v>22.018895152336466</v>
      </c>
      <c r="AE7" s="6">
        <f t="shared" si="7"/>
        <v>0.91266666666666663</v>
      </c>
    </row>
    <row r="8" spans="2:31" ht="15.75" x14ac:dyDescent="0.4">
      <c r="B8" s="28"/>
      <c r="C8" s="16" t="s">
        <v>10</v>
      </c>
      <c r="D8" s="2">
        <f>(2200+2500)/2</f>
        <v>2350</v>
      </c>
      <c r="E8" s="3">
        <v>0.95</v>
      </c>
      <c r="F8" s="23"/>
      <c r="G8" s="17">
        <f t="shared" si="0"/>
        <v>7813.75</v>
      </c>
      <c r="H8" s="2">
        <f t="shared" si="1"/>
        <v>2344.125</v>
      </c>
      <c r="I8" s="3">
        <v>0.3</v>
      </c>
      <c r="J8" s="19"/>
      <c r="K8" s="22"/>
      <c r="L8" s="19"/>
      <c r="M8" s="4">
        <f>H8*($L$6-$J$6)/10000</f>
        <v>9.2275719994469014</v>
      </c>
      <c r="N8" s="17">
        <f t="shared" si="2"/>
        <v>2076.2249999999999</v>
      </c>
      <c r="O8" s="18">
        <v>0.3</v>
      </c>
      <c r="P8" s="19"/>
      <c r="Q8" s="18">
        <f>R8/$P$6-1</f>
        <v>4.761904761904761</v>
      </c>
      <c r="R8" s="4">
        <f>(210*4/12+230*6/12+100*2/12)/1.13</f>
        <v>178.4660766961652</v>
      </c>
      <c r="S8" s="4">
        <f>N8*($R8-$P$6)/10000</f>
        <v>30.622787610619469</v>
      </c>
      <c r="T8" s="17">
        <f t="shared" si="8"/>
        <v>2946.8999999999992</v>
      </c>
      <c r="U8" s="18">
        <f t="shared" si="3"/>
        <v>0.39999999999999997</v>
      </c>
      <c r="V8" s="19"/>
      <c r="W8" s="18">
        <f>X8/$V$6-1</f>
        <v>4.8161258603736492</v>
      </c>
      <c r="X8" s="4">
        <f>(150*4/12+165*6/12+50*2/12)/1.13</f>
        <v>124.6312684365782</v>
      </c>
      <c r="Y8" s="4">
        <f>T8*($X8-$V$6)/10000</f>
        <v>30.412802781289507</v>
      </c>
      <c r="Z8" s="6">
        <f t="shared" si="4"/>
        <v>59.723688032652497</v>
      </c>
      <c r="AA8" s="4">
        <v>40.19</v>
      </c>
      <c r="AB8" s="6">
        <f t="shared" si="5"/>
        <v>99.913688032652487</v>
      </c>
      <c r="AC8" s="15">
        <v>1930</v>
      </c>
      <c r="AD8" s="15">
        <f t="shared" si="6"/>
        <v>19.316672600147264</v>
      </c>
      <c r="AE8" s="6">
        <f t="shared" si="7"/>
        <v>0.82127659574468082</v>
      </c>
    </row>
    <row r="9" spans="2:31" ht="15.75" x14ac:dyDescent="0.4">
      <c r="B9" s="28"/>
      <c r="C9" s="16" t="s">
        <v>11</v>
      </c>
      <c r="D9" s="2">
        <f>(1800+2400)/2</f>
        <v>2100</v>
      </c>
      <c r="E9" s="3">
        <v>0.95</v>
      </c>
      <c r="F9" s="23"/>
      <c r="G9" s="17">
        <f t="shared" si="0"/>
        <v>6982.5</v>
      </c>
      <c r="H9" s="2">
        <f t="shared" si="1"/>
        <v>2094.75</v>
      </c>
      <c r="I9" s="3">
        <v>0.3</v>
      </c>
      <c r="J9" s="19"/>
      <c r="K9" s="22"/>
      <c r="L9" s="19"/>
      <c r="M9" s="4">
        <f>H9*($L$6-$J$6)/10000</f>
        <v>8.2459154037610602</v>
      </c>
      <c r="N9" s="17">
        <f t="shared" si="2"/>
        <v>1855.3500000000001</v>
      </c>
      <c r="O9" s="18">
        <v>0.3</v>
      </c>
      <c r="P9" s="19"/>
      <c r="Q9" s="18">
        <f>R9/$P$6-1</f>
        <v>4.761904761904761</v>
      </c>
      <c r="R9" s="4">
        <f>(210*4/12+230*6/12+100*2/12)/1.13</f>
        <v>178.4660766961652</v>
      </c>
      <c r="S9" s="4">
        <f>N9*($R9-$P$6)/10000</f>
        <v>27.365044247787615</v>
      </c>
      <c r="T9" s="17">
        <f t="shared" si="8"/>
        <v>2633.3999999999992</v>
      </c>
      <c r="U9" s="18">
        <f t="shared" si="3"/>
        <v>0.39999999999999997</v>
      </c>
      <c r="V9" s="19"/>
      <c r="W9" s="18">
        <f>X9/$V$6-1</f>
        <v>4.8161258603736492</v>
      </c>
      <c r="X9" s="4">
        <f>(150*4/12+165*6/12+50*2/12)/1.13</f>
        <v>124.6312684365782</v>
      </c>
      <c r="Y9" s="4">
        <f>T9*($X9-$V$6)/10000</f>
        <v>27.177398230088489</v>
      </c>
      <c r="Z9" s="6">
        <f t="shared" si="4"/>
        <v>53.370104199391591</v>
      </c>
      <c r="AA9" s="4">
        <v>10.93</v>
      </c>
      <c r="AB9" s="6">
        <f t="shared" si="5"/>
        <v>64.300104199391598</v>
      </c>
      <c r="AC9" s="15">
        <v>1023</v>
      </c>
      <c r="AD9" s="15">
        <f t="shared" si="6"/>
        <v>15.909772040613264</v>
      </c>
      <c r="AE9" s="6">
        <f t="shared" si="7"/>
        <v>0.48714285714285716</v>
      </c>
    </row>
    <row r="10" spans="2:31" ht="15.75" x14ac:dyDescent="0.4">
      <c r="B10" s="28" t="s">
        <v>31</v>
      </c>
      <c r="C10" s="16" t="s">
        <v>7</v>
      </c>
      <c r="D10" s="2">
        <f>(4500+5000)/2</f>
        <v>4750</v>
      </c>
      <c r="E10" s="3">
        <v>0.95</v>
      </c>
      <c r="F10" s="23" t="s">
        <v>8</v>
      </c>
      <c r="G10" s="17">
        <f t="shared" si="0"/>
        <v>15793.75</v>
      </c>
      <c r="H10" s="2">
        <f t="shared" si="1"/>
        <v>3948.4375</v>
      </c>
      <c r="I10" s="3">
        <v>0.25</v>
      </c>
      <c r="J10" s="19">
        <f>L6</f>
        <v>56.046091445427727</v>
      </c>
      <c r="K10" s="22">
        <f>L10/J10-1</f>
        <v>0.30101251998394707</v>
      </c>
      <c r="L10" s="19">
        <f>(2500-750)/24</f>
        <v>72.916666666666671</v>
      </c>
      <c r="M10" s="4">
        <f>H10*($L$10-$J$10)/10000</f>
        <v>6.6612411850110647</v>
      </c>
      <c r="N10" s="17">
        <f t="shared" si="2"/>
        <v>4196.625</v>
      </c>
      <c r="O10" s="18">
        <v>0.3</v>
      </c>
      <c r="P10" s="4">
        <f>R6</f>
        <v>150.44247787610621</v>
      </c>
      <c r="Q10" s="18">
        <f>R10/P10-1</f>
        <v>1</v>
      </c>
      <c r="R10" s="4">
        <f>50*6.8/1.13</f>
        <v>300.88495575221242</v>
      </c>
      <c r="S10" s="4">
        <f>N10*($R10-$P10)/10000</f>
        <v>63.135066371681425</v>
      </c>
      <c r="T10" s="17">
        <f t="shared" si="8"/>
        <v>6701.0625</v>
      </c>
      <c r="U10" s="18">
        <f t="shared" si="3"/>
        <v>0.45</v>
      </c>
      <c r="V10" s="4">
        <f>X6</f>
        <v>90.26548672566372</v>
      </c>
      <c r="W10" s="18">
        <f>X10/V10-1</f>
        <v>1</v>
      </c>
      <c r="X10" s="4">
        <f>30*6.8/1.13</f>
        <v>180.53097345132744</v>
      </c>
      <c r="Y10" s="4">
        <f>T10*($X10-$V10)/10000</f>
        <v>60.487466814159298</v>
      </c>
      <c r="Z10" s="6">
        <f t="shared" si="4"/>
        <v>110.74120821522401</v>
      </c>
      <c r="AA10" s="4">
        <f>AB6</f>
        <v>87.211960349800989</v>
      </c>
      <c r="AB10" s="6">
        <f t="shared" si="5"/>
        <v>197.95316856502501</v>
      </c>
      <c r="AC10" s="15">
        <v>1568</v>
      </c>
      <c r="AD10" s="15">
        <f t="shared" si="6"/>
        <v>7.9210654285886442</v>
      </c>
      <c r="AE10" s="6">
        <f t="shared" si="7"/>
        <v>0.33010526315789473</v>
      </c>
    </row>
    <row r="11" spans="2:31" ht="15.75" x14ac:dyDescent="0.4">
      <c r="B11" s="28"/>
      <c r="C11" s="16" t="s">
        <v>9</v>
      </c>
      <c r="D11" s="2">
        <f>(3200+4000)/2</f>
        <v>3600</v>
      </c>
      <c r="E11" s="3">
        <v>0.95</v>
      </c>
      <c r="F11" s="23"/>
      <c r="G11" s="17">
        <f t="shared" si="0"/>
        <v>11970</v>
      </c>
      <c r="H11" s="2">
        <f t="shared" si="1"/>
        <v>2394</v>
      </c>
      <c r="I11" s="3">
        <v>0.2</v>
      </c>
      <c r="J11" s="19"/>
      <c r="K11" s="22"/>
      <c r="L11" s="19"/>
      <c r="M11" s="4">
        <f>H11*($L$10-$J$10)/10000</f>
        <v>4.038815707964603</v>
      </c>
      <c r="N11" s="17">
        <f t="shared" si="2"/>
        <v>4240.8</v>
      </c>
      <c r="O11" s="18">
        <v>0.4</v>
      </c>
      <c r="P11" s="4">
        <f>R7</f>
        <v>178.4660766961652</v>
      </c>
      <c r="Q11" s="18">
        <f>R11/P11-1</f>
        <v>0.4876033057851239</v>
      </c>
      <c r="R11" s="4">
        <f>300/1.13</f>
        <v>265.48672566371681</v>
      </c>
      <c r="S11" s="4">
        <f>N11*($R11-$P11)/10000</f>
        <v>36.903716814159289</v>
      </c>
      <c r="T11" s="17">
        <f t="shared" si="8"/>
        <v>4514.3999999999996</v>
      </c>
      <c r="U11" s="18">
        <f t="shared" si="3"/>
        <v>0.4</v>
      </c>
      <c r="V11" s="4">
        <f>X7</f>
        <v>124.6312684365782</v>
      </c>
      <c r="W11" s="18">
        <f>X11/V11-1</f>
        <v>0.56213017751479266</v>
      </c>
      <c r="X11" s="4">
        <f>220/1.13</f>
        <v>194.69026548672568</v>
      </c>
      <c r="Y11" s="4">
        <f>T11*($X11-$V11)/10000</f>
        <v>31.627433628318574</v>
      </c>
      <c r="Z11" s="6">
        <f t="shared" si="4"/>
        <v>61.684471227876095</v>
      </c>
      <c r="AA11" s="4">
        <f>AB7</f>
        <v>124.34774683549304</v>
      </c>
      <c r="AB11" s="6">
        <f t="shared" si="5"/>
        <v>186.03221806336913</v>
      </c>
      <c r="AC11" s="15">
        <v>2738</v>
      </c>
      <c r="AD11" s="15">
        <f t="shared" si="6"/>
        <v>14.717880744008227</v>
      </c>
      <c r="AE11" s="6">
        <f t="shared" si="7"/>
        <v>0.76055555555555554</v>
      </c>
    </row>
    <row r="12" spans="2:31" ht="15.75" x14ac:dyDescent="0.4">
      <c r="B12" s="28"/>
      <c r="C12" s="16" t="s">
        <v>10</v>
      </c>
      <c r="D12" s="2">
        <f>(2500+3000)/2</f>
        <v>2750</v>
      </c>
      <c r="E12" s="3">
        <v>0.95</v>
      </c>
      <c r="F12" s="23"/>
      <c r="G12" s="17">
        <f t="shared" si="0"/>
        <v>9143.75</v>
      </c>
      <c r="H12" s="2">
        <f t="shared" si="1"/>
        <v>2285.9375</v>
      </c>
      <c r="I12" s="3">
        <v>0.25</v>
      </c>
      <c r="J12" s="19"/>
      <c r="K12" s="22"/>
      <c r="L12" s="19"/>
      <c r="M12" s="4">
        <f>H12*($L$10-$J$10)/10000</f>
        <v>3.8565080544800896</v>
      </c>
      <c r="N12" s="17">
        <f t="shared" si="2"/>
        <v>2834.5625</v>
      </c>
      <c r="O12" s="18">
        <v>0.35</v>
      </c>
      <c r="P12" s="4">
        <f>R8</f>
        <v>178.4660766961652</v>
      </c>
      <c r="Q12" s="18">
        <f>R12/P12-1</f>
        <v>0.4876033057851239</v>
      </c>
      <c r="R12" s="4">
        <f>300/1.13</f>
        <v>265.48672566371681</v>
      </c>
      <c r="S12" s="4">
        <f>N12*($R12-$P12)/10000</f>
        <v>24.666546828908551</v>
      </c>
      <c r="T12" s="17">
        <f t="shared" si="8"/>
        <v>3448.5</v>
      </c>
      <c r="U12" s="18">
        <f t="shared" si="3"/>
        <v>0.4</v>
      </c>
      <c r="V12" s="4">
        <f>X8</f>
        <v>124.6312684365782</v>
      </c>
      <c r="W12" s="18">
        <f>X12/V12-1</f>
        <v>0.56213017751479266</v>
      </c>
      <c r="X12" s="4">
        <f>220/1.13</f>
        <v>194.69026548672568</v>
      </c>
      <c r="Y12" s="4">
        <f>T12*($X12-$V12)/10000</f>
        <v>24.15984513274336</v>
      </c>
      <c r="Z12" s="6">
        <f t="shared" si="4"/>
        <v>44.780465013712195</v>
      </c>
      <c r="AA12" s="4">
        <f>AB8</f>
        <v>99.913688032652487</v>
      </c>
      <c r="AB12" s="6">
        <f t="shared" si="5"/>
        <v>144.69415304636468</v>
      </c>
      <c r="AC12" s="15">
        <v>1930</v>
      </c>
      <c r="AD12" s="15">
        <f t="shared" si="6"/>
        <v>13.338479540231081</v>
      </c>
      <c r="AE12" s="6">
        <f t="shared" si="7"/>
        <v>0.70181818181818179</v>
      </c>
    </row>
    <row r="13" spans="2:31" ht="15.75" x14ac:dyDescent="0.4">
      <c r="B13" s="28"/>
      <c r="C13" s="16" t="s">
        <v>11</v>
      </c>
      <c r="D13" s="2">
        <f>(2400+2800)/2</f>
        <v>2600</v>
      </c>
      <c r="E13" s="3">
        <v>0.95</v>
      </c>
      <c r="F13" s="23"/>
      <c r="G13" s="17">
        <f t="shared" si="0"/>
        <v>8645</v>
      </c>
      <c r="H13" s="2">
        <f t="shared" si="1"/>
        <v>2161.25</v>
      </c>
      <c r="I13" s="3">
        <v>0.25</v>
      </c>
      <c r="J13" s="19"/>
      <c r="K13" s="22"/>
      <c r="L13" s="19"/>
      <c r="M13" s="4">
        <f>H13*($L$10-$J$10)/10000</f>
        <v>3.6461530696902673</v>
      </c>
      <c r="N13" s="17">
        <f t="shared" si="2"/>
        <v>2679.9500000000003</v>
      </c>
      <c r="O13" s="18">
        <v>0.35</v>
      </c>
      <c r="P13" s="4">
        <f>R9</f>
        <v>178.4660766961652</v>
      </c>
      <c r="Q13" s="18">
        <f>R13/P13-1</f>
        <v>0.4876033057851239</v>
      </c>
      <c r="R13" s="4">
        <f>300/1.13</f>
        <v>265.48672566371681</v>
      </c>
      <c r="S13" s="4">
        <f>N13*($R13-$P13)/10000</f>
        <v>23.321098820058996</v>
      </c>
      <c r="T13" s="17">
        <f t="shared" si="8"/>
        <v>3260.4</v>
      </c>
      <c r="U13" s="18">
        <f t="shared" si="3"/>
        <v>0.4</v>
      </c>
      <c r="V13" s="4">
        <f>X9</f>
        <v>124.6312684365782</v>
      </c>
      <c r="W13" s="18">
        <f>X13/V13-1</f>
        <v>0.56213017751479266</v>
      </c>
      <c r="X13" s="4">
        <f>220/1.13</f>
        <v>194.69026548672568</v>
      </c>
      <c r="Y13" s="4">
        <f>T13*($X13-$V13)/10000</f>
        <v>22.842035398230085</v>
      </c>
      <c r="Z13" s="6">
        <f t="shared" si="4"/>
        <v>42.337894194782443</v>
      </c>
      <c r="AA13" s="4">
        <f>AB9</f>
        <v>64.300104199391598</v>
      </c>
      <c r="AB13" s="6">
        <f t="shared" si="5"/>
        <v>106.63799839417405</v>
      </c>
      <c r="AC13" s="15">
        <v>1023</v>
      </c>
      <c r="AD13" s="15">
        <f t="shared" si="6"/>
        <v>9.5932033178136766</v>
      </c>
      <c r="AE13" s="6">
        <f t="shared" si="7"/>
        <v>0.39346153846153847</v>
      </c>
    </row>
    <row r="14" spans="2:31" ht="15.75" x14ac:dyDescent="0.4">
      <c r="B14" s="25" t="s">
        <v>40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7"/>
    </row>
    <row r="19" spans="13:13" x14ac:dyDescent="0.4">
      <c r="M19" s="1">
        <f>(2500-750)/24</f>
        <v>72.916666666666671</v>
      </c>
    </row>
  </sheetData>
  <sheetProtection algorithmName="SHA-512" hashValue="Sg/aBc5VHiVD+miLtrScEbOpgMM+mUseUzsb9yExUNvrE/2Zsj9IkHZnMlHzgIlGkyLmICKyQ+LlndOAEFRUMw==" saltValue="37ncjcTSxvC4L36SE+oqOA==" spinCount="100000" sheet="1" objects="1" scenarios="1"/>
  <mergeCells count="29">
    <mergeCell ref="B14:AE14"/>
    <mergeCell ref="N4:S4"/>
    <mergeCell ref="T4:Y4"/>
    <mergeCell ref="Z4:Z5"/>
    <mergeCell ref="AA4:AA5"/>
    <mergeCell ref="AB4:AB5"/>
    <mergeCell ref="D4:D5"/>
    <mergeCell ref="E4:E5"/>
    <mergeCell ref="F4:F5"/>
    <mergeCell ref="G4:G5"/>
    <mergeCell ref="H4:M4"/>
    <mergeCell ref="B6:B9"/>
    <mergeCell ref="B10:B13"/>
    <mergeCell ref="L6:L9"/>
    <mergeCell ref="L10:L13"/>
    <mergeCell ref="B3:AE3"/>
    <mergeCell ref="B4:B5"/>
    <mergeCell ref="K10:K13"/>
    <mergeCell ref="J10:J13"/>
    <mergeCell ref="F10:F13"/>
    <mergeCell ref="AE4:AE5"/>
    <mergeCell ref="F6:F9"/>
    <mergeCell ref="J6:J9"/>
    <mergeCell ref="K6:K9"/>
    <mergeCell ref="P6:P9"/>
    <mergeCell ref="V6:V9"/>
    <mergeCell ref="C4:C5"/>
    <mergeCell ref="AC4:AC5"/>
    <mergeCell ref="AD4:AD5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5B23-198A-4DBB-BACF-F4779836956E}">
  <dimension ref="A1:BJ15"/>
  <sheetViews>
    <sheetView zoomScale="120" zoomScaleNormal="120" workbookViewId="0">
      <selection activeCell="BE1" sqref="BE1:BE1048576"/>
    </sheetView>
  </sheetViews>
  <sheetFormatPr defaultRowHeight="11.65" x14ac:dyDescent="0.35"/>
  <cols>
    <col min="1" max="1" width="10" style="7" bestFit="1" customWidth="1"/>
    <col min="2" max="6" width="8.1328125" style="7" bestFit="1" customWidth="1"/>
    <col min="7" max="7" width="9.19921875" style="7" bestFit="1" customWidth="1"/>
    <col min="8" max="8" width="11.59765625" style="7" bestFit="1" customWidth="1"/>
    <col min="9" max="11" width="10.265625" style="7" bestFit="1" customWidth="1"/>
    <col min="12" max="12" width="8.1328125" style="7" bestFit="1" customWidth="1"/>
    <col min="13" max="13" width="9.19921875" style="7" bestFit="1" customWidth="1"/>
    <col min="14" max="18" width="8.1328125" style="7" bestFit="1" customWidth="1"/>
    <col min="19" max="19" width="9.19921875" style="7" bestFit="1" customWidth="1"/>
    <col min="20" max="24" width="8.1328125" style="7" bestFit="1" customWidth="1"/>
    <col min="25" max="25" width="9.19921875" style="7" bestFit="1" customWidth="1"/>
    <col min="26" max="30" width="8.1328125" style="7" bestFit="1" customWidth="1"/>
    <col min="31" max="31" width="7.73046875" style="7" bestFit="1" customWidth="1"/>
    <col min="32" max="36" width="8.1328125" style="7" bestFit="1" customWidth="1"/>
    <col min="37" max="37" width="9.19921875" style="7" bestFit="1" customWidth="1"/>
    <col min="38" max="42" width="8.1328125" style="7" bestFit="1" customWidth="1"/>
    <col min="43" max="43" width="7.73046875" style="7" bestFit="1" customWidth="1"/>
    <col min="44" max="45" width="6.86328125" style="7" bestFit="1" customWidth="1"/>
    <col min="46" max="48" width="8.1328125" style="7" bestFit="1" customWidth="1"/>
    <col min="49" max="49" width="9.19921875" style="7" bestFit="1" customWidth="1"/>
    <col min="50" max="54" width="8.1328125" style="7" bestFit="1" customWidth="1"/>
    <col min="55" max="55" width="7.73046875" style="7" bestFit="1" customWidth="1"/>
    <col min="56" max="59" width="7.73046875" style="7" customWidth="1"/>
    <col min="60" max="60" width="12.06640625" style="7" bestFit="1" customWidth="1"/>
    <col min="61" max="62" width="10.265625" style="7" bestFit="1" customWidth="1"/>
    <col min="63" max="16384" width="9.06640625" style="7"/>
  </cols>
  <sheetData>
    <row r="1" spans="1:62" x14ac:dyDescent="0.35">
      <c r="B1" s="8">
        <v>42736</v>
      </c>
      <c r="C1" s="8">
        <f>EDATE(B1,2)</f>
        <v>42795</v>
      </c>
      <c r="D1" s="8">
        <f t="shared" ref="D1:BB1" si="0">EDATE(C1,2)</f>
        <v>42856</v>
      </c>
      <c r="E1" s="8">
        <f t="shared" si="0"/>
        <v>42917</v>
      </c>
      <c r="F1" s="8">
        <f t="shared" si="0"/>
        <v>42979</v>
      </c>
      <c r="G1" s="8">
        <f t="shared" si="0"/>
        <v>43040</v>
      </c>
      <c r="H1" s="8">
        <f t="shared" si="0"/>
        <v>43101</v>
      </c>
      <c r="I1" s="8">
        <f t="shared" si="0"/>
        <v>43160</v>
      </c>
      <c r="J1" s="8">
        <f t="shared" si="0"/>
        <v>43221</v>
      </c>
      <c r="K1" s="8">
        <f t="shared" si="0"/>
        <v>43282</v>
      </c>
      <c r="L1" s="8">
        <f t="shared" si="0"/>
        <v>43344</v>
      </c>
      <c r="M1" s="8">
        <f t="shared" si="0"/>
        <v>43405</v>
      </c>
      <c r="N1" s="8">
        <f t="shared" si="0"/>
        <v>43466</v>
      </c>
      <c r="O1" s="8">
        <f t="shared" si="0"/>
        <v>43525</v>
      </c>
      <c r="P1" s="8">
        <f t="shared" si="0"/>
        <v>43586</v>
      </c>
      <c r="Q1" s="8">
        <f t="shared" si="0"/>
        <v>43647</v>
      </c>
      <c r="R1" s="8">
        <f t="shared" si="0"/>
        <v>43709</v>
      </c>
      <c r="S1" s="8">
        <f t="shared" si="0"/>
        <v>43770</v>
      </c>
      <c r="T1" s="8">
        <f t="shared" si="0"/>
        <v>43831</v>
      </c>
      <c r="U1" s="8">
        <f t="shared" si="0"/>
        <v>43891</v>
      </c>
      <c r="V1" s="8">
        <f t="shared" si="0"/>
        <v>43952</v>
      </c>
      <c r="W1" s="8">
        <f t="shared" si="0"/>
        <v>44013</v>
      </c>
      <c r="X1" s="8">
        <f t="shared" si="0"/>
        <v>44075</v>
      </c>
      <c r="Y1" s="8">
        <f t="shared" si="0"/>
        <v>44136</v>
      </c>
      <c r="Z1" s="8">
        <f t="shared" si="0"/>
        <v>44197</v>
      </c>
      <c r="AA1" s="8">
        <f t="shared" si="0"/>
        <v>44256</v>
      </c>
      <c r="AB1" s="8">
        <f t="shared" si="0"/>
        <v>44317</v>
      </c>
      <c r="AC1" s="8">
        <f t="shared" si="0"/>
        <v>44378</v>
      </c>
      <c r="AD1" s="8">
        <f t="shared" si="0"/>
        <v>44440</v>
      </c>
      <c r="AE1" s="8">
        <f t="shared" si="0"/>
        <v>44501</v>
      </c>
      <c r="AF1" s="8">
        <f t="shared" si="0"/>
        <v>44562</v>
      </c>
      <c r="AG1" s="8">
        <f t="shared" si="0"/>
        <v>44621</v>
      </c>
      <c r="AH1" s="8">
        <f t="shared" si="0"/>
        <v>44682</v>
      </c>
      <c r="AI1" s="8">
        <f t="shared" si="0"/>
        <v>44743</v>
      </c>
      <c r="AJ1" s="8">
        <f t="shared" si="0"/>
        <v>44805</v>
      </c>
      <c r="AK1" s="8">
        <f t="shared" si="0"/>
        <v>44866</v>
      </c>
      <c r="AL1" s="8">
        <f t="shared" si="0"/>
        <v>44927</v>
      </c>
      <c r="AM1" s="8">
        <f t="shared" si="0"/>
        <v>44986</v>
      </c>
      <c r="AN1" s="8">
        <f t="shared" si="0"/>
        <v>45047</v>
      </c>
      <c r="AO1" s="8">
        <f t="shared" si="0"/>
        <v>45108</v>
      </c>
      <c r="AP1" s="8">
        <f t="shared" si="0"/>
        <v>45170</v>
      </c>
      <c r="AQ1" s="8">
        <f t="shared" si="0"/>
        <v>45231</v>
      </c>
      <c r="AR1" s="8">
        <f t="shared" si="0"/>
        <v>45292</v>
      </c>
      <c r="AS1" s="8">
        <f t="shared" si="0"/>
        <v>45352</v>
      </c>
      <c r="AT1" s="8">
        <f t="shared" si="0"/>
        <v>45413</v>
      </c>
      <c r="AU1" s="8">
        <f t="shared" si="0"/>
        <v>45474</v>
      </c>
      <c r="AV1" s="8">
        <f t="shared" si="0"/>
        <v>45536</v>
      </c>
      <c r="AW1" s="8">
        <f t="shared" si="0"/>
        <v>45597</v>
      </c>
      <c r="AX1" s="8">
        <f t="shared" si="0"/>
        <v>45658</v>
      </c>
      <c r="AY1" s="8">
        <f t="shared" si="0"/>
        <v>45717</v>
      </c>
      <c r="AZ1" s="8">
        <f t="shared" si="0"/>
        <v>45778</v>
      </c>
      <c r="BA1" s="8">
        <f t="shared" si="0"/>
        <v>45839</v>
      </c>
      <c r="BB1" s="8">
        <f t="shared" si="0"/>
        <v>45901</v>
      </c>
      <c r="BC1" s="8">
        <f t="shared" ref="BC1" si="1">EDATE(BB1,2)</f>
        <v>45962</v>
      </c>
      <c r="BD1" s="8">
        <v>46023</v>
      </c>
      <c r="BE1" s="8"/>
      <c r="BF1" s="8"/>
      <c r="BG1" s="8">
        <v>46357</v>
      </c>
      <c r="BH1" s="11">
        <v>46040</v>
      </c>
      <c r="BI1" s="11">
        <v>46044</v>
      </c>
      <c r="BJ1" s="11">
        <v>46047</v>
      </c>
    </row>
    <row r="2" spans="1:62" x14ac:dyDescent="0.35">
      <c r="A2" s="7" t="s">
        <v>14</v>
      </c>
      <c r="B2" s="9">
        <v>60.6</v>
      </c>
      <c r="C2" s="9">
        <v>62</v>
      </c>
      <c r="D2" s="9">
        <v>66.7</v>
      </c>
      <c r="E2" s="9">
        <v>74</v>
      </c>
      <c r="F2" s="9">
        <v>73.900000000000006</v>
      </c>
      <c r="G2" s="9">
        <v>73.400000000000006</v>
      </c>
      <c r="H2" s="9">
        <v>77.400000000000006</v>
      </c>
      <c r="I2" s="9">
        <v>77.2</v>
      </c>
      <c r="J2" s="9">
        <v>78.8</v>
      </c>
      <c r="K2" s="9">
        <v>74.900000000000006</v>
      </c>
      <c r="L2" s="9">
        <v>65.900000000000006</v>
      </c>
      <c r="M2" s="9">
        <v>52.9</v>
      </c>
      <c r="N2" s="9">
        <v>49.6</v>
      </c>
      <c r="O2" s="9">
        <v>42.3</v>
      </c>
      <c r="P2" s="9">
        <v>33.799999999999997</v>
      </c>
      <c r="Q2" s="9">
        <v>31</v>
      </c>
      <c r="R2" s="9">
        <v>30</v>
      </c>
      <c r="S2" s="9">
        <v>28.1</v>
      </c>
      <c r="T2" s="9">
        <v>25</v>
      </c>
      <c r="U2" s="9">
        <v>24.8</v>
      </c>
      <c r="V2" s="9">
        <v>25</v>
      </c>
      <c r="W2" s="9">
        <v>25.1</v>
      </c>
      <c r="X2" s="9">
        <v>19.7</v>
      </c>
      <c r="Y2" s="9">
        <v>18.399999999999999</v>
      </c>
      <c r="Z2" s="9">
        <v>17.399999999999999</v>
      </c>
      <c r="AA2" s="9">
        <v>17.7</v>
      </c>
      <c r="AB2" s="9">
        <v>19.100000000000001</v>
      </c>
      <c r="AC2" s="9">
        <v>20.7</v>
      </c>
      <c r="AD2" s="9">
        <v>21.3</v>
      </c>
      <c r="AE2" s="9">
        <v>26.1</v>
      </c>
      <c r="AF2" s="9">
        <v>26.7</v>
      </c>
      <c r="AG2" s="10">
        <v>26.5</v>
      </c>
      <c r="AH2" s="10">
        <v>28.8</v>
      </c>
      <c r="AI2" s="10">
        <v>30.1</v>
      </c>
      <c r="AJ2" s="10">
        <v>30.1</v>
      </c>
      <c r="AK2" s="10">
        <v>30.1</v>
      </c>
      <c r="AL2" s="10">
        <v>28.8</v>
      </c>
      <c r="AM2" s="10">
        <v>28.8</v>
      </c>
      <c r="AN2" s="10">
        <v>27.4</v>
      </c>
      <c r="AO2" s="10">
        <v>26.1</v>
      </c>
      <c r="AP2" s="10">
        <v>23.9</v>
      </c>
      <c r="AQ2" s="10">
        <v>19.5</v>
      </c>
      <c r="AR2" s="10">
        <v>17.3</v>
      </c>
      <c r="AS2" s="10">
        <v>17.3</v>
      </c>
      <c r="AT2" s="10">
        <v>17.3</v>
      </c>
      <c r="AU2" s="10">
        <v>16.3</v>
      </c>
      <c r="AV2" s="10">
        <v>16.399999999999999</v>
      </c>
      <c r="AW2" s="10">
        <v>16.3</v>
      </c>
      <c r="AX2" s="10">
        <v>16.37</v>
      </c>
      <c r="AY2" s="10">
        <v>16.100000000000001</v>
      </c>
      <c r="AZ2" s="10">
        <v>15.48</v>
      </c>
      <c r="BA2" s="10">
        <v>15.84</v>
      </c>
      <c r="BB2" s="10">
        <v>17.260000000000002</v>
      </c>
      <c r="BC2" s="10">
        <v>17.61</v>
      </c>
      <c r="BD2" s="10"/>
      <c r="BE2" s="10"/>
      <c r="BF2" s="10"/>
      <c r="BG2" s="10">
        <v>21</v>
      </c>
      <c r="BH2" s="10">
        <f>BH6/1.13</f>
        <v>26.548672566371685</v>
      </c>
      <c r="BI2" s="10">
        <f>BI6/1.13</f>
        <v>32.743362831858413</v>
      </c>
      <c r="BJ2" s="10">
        <f>BJ6/1.13</f>
        <v>38.938053097345133</v>
      </c>
    </row>
    <row r="5" spans="1:62" x14ac:dyDescent="0.35">
      <c r="B5" s="8">
        <v>42736</v>
      </c>
      <c r="C5" s="8">
        <f>EDATE(B5,2)</f>
        <v>42795</v>
      </c>
      <c r="D5" s="8">
        <f t="shared" ref="D5" si="2">EDATE(C5,2)</f>
        <v>42856</v>
      </c>
      <c r="E5" s="8">
        <f t="shared" ref="E5" si="3">EDATE(D5,2)</f>
        <v>42917</v>
      </c>
      <c r="F5" s="8">
        <f t="shared" ref="F5" si="4">EDATE(E5,2)</f>
        <v>42979</v>
      </c>
      <c r="G5" s="8">
        <f t="shared" ref="G5" si="5">EDATE(F5,2)</f>
        <v>43040</v>
      </c>
      <c r="H5" s="8">
        <f t="shared" ref="H5" si="6">EDATE(G5,2)</f>
        <v>43101</v>
      </c>
      <c r="I5" s="8">
        <f t="shared" ref="I5" si="7">EDATE(H5,2)</f>
        <v>43160</v>
      </c>
      <c r="J5" s="8">
        <f t="shared" ref="J5" si="8">EDATE(I5,2)</f>
        <v>43221</v>
      </c>
      <c r="K5" s="8">
        <f t="shared" ref="K5" si="9">EDATE(J5,2)</f>
        <v>43282</v>
      </c>
      <c r="L5" s="8">
        <f t="shared" ref="L5" si="10">EDATE(K5,2)</f>
        <v>43344</v>
      </c>
      <c r="M5" s="8">
        <f t="shared" ref="M5" si="11">EDATE(L5,2)</f>
        <v>43405</v>
      </c>
      <c r="N5" s="8">
        <f t="shared" ref="N5" si="12">EDATE(M5,2)</f>
        <v>43466</v>
      </c>
      <c r="O5" s="8">
        <f t="shared" ref="O5" si="13">EDATE(N5,2)</f>
        <v>43525</v>
      </c>
      <c r="P5" s="8">
        <f t="shared" ref="P5" si="14">EDATE(O5,2)</f>
        <v>43586</v>
      </c>
      <c r="Q5" s="8">
        <f t="shared" ref="Q5" si="15">EDATE(P5,2)</f>
        <v>43647</v>
      </c>
      <c r="R5" s="8">
        <f t="shared" ref="R5" si="16">EDATE(Q5,2)</f>
        <v>43709</v>
      </c>
      <c r="S5" s="8">
        <f t="shared" ref="S5" si="17">EDATE(R5,2)</f>
        <v>43770</v>
      </c>
      <c r="T5" s="8">
        <f t="shared" ref="T5" si="18">EDATE(S5,2)</f>
        <v>43831</v>
      </c>
      <c r="U5" s="8">
        <f t="shared" ref="U5" si="19">EDATE(T5,2)</f>
        <v>43891</v>
      </c>
      <c r="V5" s="8">
        <f t="shared" ref="V5" si="20">EDATE(U5,2)</f>
        <v>43952</v>
      </c>
      <c r="W5" s="8">
        <f t="shared" ref="W5" si="21">EDATE(V5,2)</f>
        <v>44013</v>
      </c>
      <c r="X5" s="8">
        <f t="shared" ref="X5" si="22">EDATE(W5,2)</f>
        <v>44075</v>
      </c>
      <c r="Y5" s="8">
        <f t="shared" ref="Y5" si="23">EDATE(X5,2)</f>
        <v>44136</v>
      </c>
      <c r="Z5" s="8">
        <f t="shared" ref="Z5" si="24">EDATE(Y5,2)</f>
        <v>44197</v>
      </c>
      <c r="AA5" s="8">
        <f t="shared" ref="AA5" si="25">EDATE(Z5,2)</f>
        <v>44256</v>
      </c>
      <c r="AB5" s="8">
        <f t="shared" ref="AB5" si="26">EDATE(AA5,2)</f>
        <v>44317</v>
      </c>
      <c r="AC5" s="8">
        <f t="shared" ref="AC5" si="27">EDATE(AB5,2)</f>
        <v>44378</v>
      </c>
      <c r="AD5" s="8">
        <f t="shared" ref="AD5" si="28">EDATE(AC5,2)</f>
        <v>44440</v>
      </c>
      <c r="AE5" s="8">
        <f t="shared" ref="AE5" si="29">EDATE(AD5,2)</f>
        <v>44501</v>
      </c>
      <c r="AF5" s="8">
        <f t="shared" ref="AF5" si="30">EDATE(AE5,2)</f>
        <v>44562</v>
      </c>
      <c r="AG5" s="8">
        <f t="shared" ref="AG5" si="31">EDATE(AF5,2)</f>
        <v>44621</v>
      </c>
      <c r="AH5" s="8">
        <f t="shared" ref="AH5" si="32">EDATE(AG5,2)</f>
        <v>44682</v>
      </c>
      <c r="AI5" s="8">
        <f t="shared" ref="AI5" si="33">EDATE(AH5,2)</f>
        <v>44743</v>
      </c>
      <c r="AJ5" s="8">
        <f t="shared" ref="AJ5" si="34">EDATE(AI5,2)</f>
        <v>44805</v>
      </c>
      <c r="AK5" s="8">
        <f t="shared" ref="AK5" si="35">EDATE(AJ5,2)</f>
        <v>44866</v>
      </c>
      <c r="AL5" s="8">
        <f t="shared" ref="AL5" si="36">EDATE(AK5,2)</f>
        <v>44927</v>
      </c>
      <c r="AM5" s="8">
        <f t="shared" ref="AM5" si="37">EDATE(AL5,2)</f>
        <v>44986</v>
      </c>
      <c r="AN5" s="8">
        <f t="shared" ref="AN5" si="38">EDATE(AM5,2)</f>
        <v>45047</v>
      </c>
      <c r="AO5" s="8">
        <f t="shared" ref="AO5" si="39">EDATE(AN5,2)</f>
        <v>45108</v>
      </c>
      <c r="AP5" s="8">
        <f t="shared" ref="AP5" si="40">EDATE(AO5,2)</f>
        <v>45170</v>
      </c>
      <c r="AQ5" s="8">
        <f t="shared" ref="AQ5" si="41">EDATE(AP5,2)</f>
        <v>45231</v>
      </c>
      <c r="AR5" s="8">
        <f t="shared" ref="AR5" si="42">EDATE(AQ5,2)</f>
        <v>45292</v>
      </c>
      <c r="AS5" s="8">
        <f t="shared" ref="AS5" si="43">EDATE(AR5,2)</f>
        <v>45352</v>
      </c>
      <c r="AT5" s="8">
        <f t="shared" ref="AT5" si="44">EDATE(AS5,2)</f>
        <v>45413</v>
      </c>
      <c r="AU5" s="8">
        <f t="shared" ref="AU5" si="45">EDATE(AT5,2)</f>
        <v>45474</v>
      </c>
      <c r="AV5" s="8">
        <f t="shared" ref="AV5" si="46">EDATE(AU5,2)</f>
        <v>45536</v>
      </c>
      <c r="AW5" s="8">
        <f t="shared" ref="AW5" si="47">EDATE(AV5,2)</f>
        <v>45597</v>
      </c>
      <c r="AX5" s="8">
        <f t="shared" ref="AX5" si="48">EDATE(AW5,2)</f>
        <v>45658</v>
      </c>
      <c r="AY5" s="8">
        <f t="shared" ref="AY5" si="49">EDATE(AX5,2)</f>
        <v>45717</v>
      </c>
      <c r="AZ5" s="8">
        <f t="shared" ref="AZ5" si="50">EDATE(AY5,2)</f>
        <v>45778</v>
      </c>
      <c r="BA5" s="8">
        <f t="shared" ref="BA5" si="51">EDATE(AZ5,2)</f>
        <v>45839</v>
      </c>
      <c r="BB5" s="8">
        <f t="shared" ref="BB5" si="52">EDATE(BA5,2)</f>
        <v>45901</v>
      </c>
      <c r="BC5" s="8">
        <f t="shared" ref="BC5" si="53">EDATE(BB5,2)</f>
        <v>45962</v>
      </c>
      <c r="BD5" s="8">
        <v>46023</v>
      </c>
      <c r="BE5" s="8"/>
      <c r="BF5" s="8"/>
      <c r="BG5" s="8">
        <v>46357</v>
      </c>
      <c r="BH5" s="11">
        <v>46040</v>
      </c>
      <c r="BI5" s="11">
        <v>46044</v>
      </c>
      <c r="BJ5" s="11">
        <v>46047</v>
      </c>
    </row>
    <row r="6" spans="1:62" x14ac:dyDescent="0.35">
      <c r="A6" s="7" t="s">
        <v>15</v>
      </c>
      <c r="B6" s="9">
        <f>B2*1.17</f>
        <v>70.902000000000001</v>
      </c>
      <c r="C6" s="9">
        <f t="shared" ref="C6:O6" si="54">C2*1.17</f>
        <v>72.539999999999992</v>
      </c>
      <c r="D6" s="9">
        <f t="shared" si="54"/>
        <v>78.039000000000001</v>
      </c>
      <c r="E6" s="9">
        <f t="shared" si="54"/>
        <v>86.58</v>
      </c>
      <c r="F6" s="9">
        <f t="shared" si="54"/>
        <v>86.463000000000008</v>
      </c>
      <c r="G6" s="9">
        <f t="shared" si="54"/>
        <v>85.878</v>
      </c>
      <c r="H6" s="9">
        <f t="shared" si="54"/>
        <v>90.558000000000007</v>
      </c>
      <c r="I6" s="9">
        <f t="shared" si="54"/>
        <v>90.323999999999998</v>
      </c>
      <c r="J6" s="9">
        <f t="shared" si="54"/>
        <v>92.195999999999998</v>
      </c>
      <c r="K6" s="9">
        <f t="shared" si="54"/>
        <v>87.632999999999996</v>
      </c>
      <c r="L6" s="9">
        <f t="shared" si="54"/>
        <v>77.103000000000009</v>
      </c>
      <c r="M6" s="9">
        <f t="shared" si="54"/>
        <v>61.892999999999994</v>
      </c>
      <c r="N6" s="9">
        <f t="shared" si="54"/>
        <v>58.031999999999996</v>
      </c>
      <c r="O6" s="9">
        <f t="shared" si="54"/>
        <v>49.490999999999993</v>
      </c>
      <c r="P6" s="9">
        <f>P2*1.13</f>
        <v>38.193999999999996</v>
      </c>
      <c r="Q6" s="9">
        <f t="shared" ref="Q6:BG6" si="55">Q2*1.13</f>
        <v>35.029999999999994</v>
      </c>
      <c r="R6" s="9">
        <f t="shared" si="55"/>
        <v>33.9</v>
      </c>
      <c r="S6" s="9">
        <f t="shared" si="55"/>
        <v>31.753</v>
      </c>
      <c r="T6" s="9">
        <f t="shared" si="55"/>
        <v>28.249999999999996</v>
      </c>
      <c r="U6" s="9">
        <f>U2*1.13</f>
        <v>28.023999999999997</v>
      </c>
      <c r="V6" s="9">
        <f t="shared" si="55"/>
        <v>28.249999999999996</v>
      </c>
      <c r="W6" s="9">
        <f t="shared" si="55"/>
        <v>28.363</v>
      </c>
      <c r="X6" s="9">
        <f t="shared" si="55"/>
        <v>22.260999999999996</v>
      </c>
      <c r="Y6" s="9">
        <f t="shared" si="55"/>
        <v>20.791999999999998</v>
      </c>
      <c r="Z6" s="9">
        <f t="shared" si="55"/>
        <v>19.661999999999995</v>
      </c>
      <c r="AA6" s="9">
        <f t="shared" si="55"/>
        <v>20.000999999999998</v>
      </c>
      <c r="AB6" s="9">
        <f t="shared" si="55"/>
        <v>21.582999999999998</v>
      </c>
      <c r="AC6" s="9">
        <f t="shared" si="55"/>
        <v>23.390999999999998</v>
      </c>
      <c r="AD6" s="9">
        <f t="shared" si="55"/>
        <v>24.068999999999999</v>
      </c>
      <c r="AE6" s="9">
        <f t="shared" si="55"/>
        <v>29.492999999999999</v>
      </c>
      <c r="AF6" s="9">
        <f t="shared" si="55"/>
        <v>30.170999999999996</v>
      </c>
      <c r="AG6" s="9">
        <f t="shared" si="55"/>
        <v>29.944999999999997</v>
      </c>
      <c r="AH6" s="9">
        <f t="shared" si="55"/>
        <v>32.543999999999997</v>
      </c>
      <c r="AI6" s="9">
        <f t="shared" si="55"/>
        <v>34.012999999999998</v>
      </c>
      <c r="AJ6" s="9">
        <f t="shared" si="55"/>
        <v>34.012999999999998</v>
      </c>
      <c r="AK6" s="9">
        <f t="shared" si="55"/>
        <v>34.012999999999998</v>
      </c>
      <c r="AL6" s="9">
        <f t="shared" si="55"/>
        <v>32.543999999999997</v>
      </c>
      <c r="AM6" s="9">
        <f t="shared" si="55"/>
        <v>32.543999999999997</v>
      </c>
      <c r="AN6" s="9">
        <f t="shared" si="55"/>
        <v>30.961999999999996</v>
      </c>
      <c r="AO6" s="9">
        <f t="shared" si="55"/>
        <v>29.492999999999999</v>
      </c>
      <c r="AP6" s="9">
        <f t="shared" si="55"/>
        <v>27.006999999999994</v>
      </c>
      <c r="AQ6" s="9">
        <f t="shared" si="55"/>
        <v>22.034999999999997</v>
      </c>
      <c r="AR6" s="9">
        <f t="shared" si="55"/>
        <v>19.548999999999999</v>
      </c>
      <c r="AS6" s="9">
        <f t="shared" si="55"/>
        <v>19.548999999999999</v>
      </c>
      <c r="AT6" s="9">
        <f t="shared" si="55"/>
        <v>19.548999999999999</v>
      </c>
      <c r="AU6" s="9">
        <f t="shared" si="55"/>
        <v>18.419</v>
      </c>
      <c r="AV6" s="9">
        <f t="shared" si="55"/>
        <v>18.531999999999996</v>
      </c>
      <c r="AW6" s="9">
        <f t="shared" si="55"/>
        <v>18.419</v>
      </c>
      <c r="AX6" s="9">
        <f t="shared" si="55"/>
        <v>18.498100000000001</v>
      </c>
      <c r="AY6" s="9">
        <f t="shared" si="55"/>
        <v>18.193000000000001</v>
      </c>
      <c r="AZ6" s="9">
        <f t="shared" si="55"/>
        <v>17.4924</v>
      </c>
      <c r="BA6" s="9">
        <f t="shared" si="55"/>
        <v>17.899199999999997</v>
      </c>
      <c r="BB6" s="9">
        <f t="shared" si="55"/>
        <v>19.503799999999998</v>
      </c>
      <c r="BC6" s="9">
        <f t="shared" si="55"/>
        <v>19.899299999999997</v>
      </c>
      <c r="BD6" s="9">
        <v>60</v>
      </c>
      <c r="BE6" s="9"/>
      <c r="BF6" s="9"/>
      <c r="BG6" s="9">
        <f t="shared" si="55"/>
        <v>23.729999999999997</v>
      </c>
      <c r="BH6" s="9">
        <v>30</v>
      </c>
      <c r="BI6" s="9">
        <v>37</v>
      </c>
      <c r="BJ6" s="9">
        <v>44</v>
      </c>
    </row>
    <row r="9" spans="1:62" x14ac:dyDescent="0.35">
      <c r="A9" s="7" t="s">
        <v>16</v>
      </c>
    </row>
    <row r="14" spans="1:62" ht="12.4" x14ac:dyDescent="0.4">
      <c r="B14" s="12" t="s">
        <v>17</v>
      </c>
      <c r="C14" s="12" t="s">
        <v>18</v>
      </c>
      <c r="D14" s="12" t="s">
        <v>19</v>
      </c>
      <c r="E14" s="12" t="s">
        <v>20</v>
      </c>
      <c r="F14" s="12" t="s">
        <v>21</v>
      </c>
      <c r="G14" s="12" t="s">
        <v>22</v>
      </c>
      <c r="H14" s="12" t="s">
        <v>26</v>
      </c>
      <c r="I14" s="13" t="s">
        <v>23</v>
      </c>
      <c r="J14" s="13" t="s">
        <v>24</v>
      </c>
      <c r="K14" s="13" t="s">
        <v>25</v>
      </c>
    </row>
    <row r="15" spans="1:62" ht="12.4" x14ac:dyDescent="0.4">
      <c r="A15" s="14" t="s">
        <v>15</v>
      </c>
      <c r="B15" s="9">
        <v>18.498100000000001</v>
      </c>
      <c r="C15" s="9">
        <v>18.193000000000001</v>
      </c>
      <c r="D15" s="9">
        <v>17.4924</v>
      </c>
      <c r="E15" s="9">
        <v>17.899199999999997</v>
      </c>
      <c r="F15" s="9">
        <v>19.503799999999998</v>
      </c>
      <c r="G15" s="9">
        <v>19.899299999999997</v>
      </c>
      <c r="H15" s="9">
        <v>23.729999999999997</v>
      </c>
      <c r="I15" s="9">
        <v>30</v>
      </c>
      <c r="J15" s="9">
        <v>37</v>
      </c>
      <c r="K15" s="9">
        <v>44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涨价弹性</vt:lpstr>
      <vt:lpstr>散纤价格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YIMING YU</dc:creator>
  <cp:lastModifiedBy>YIMING YU</cp:lastModifiedBy>
  <dcterms:created xsi:type="dcterms:W3CDTF">2025-12-18T08:54:57Z</dcterms:created>
  <dcterms:modified xsi:type="dcterms:W3CDTF">2026-06-20T09:57:53Z</dcterms:modified>
</cp:coreProperties>
</file>