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lenovo\Desktop\周报&amp;数据库\新能源汽车数据库\260621\"/>
    </mc:Choice>
  </mc:AlternateContent>
  <xr:revisionPtr revIDLastSave="0" documentId="13_ncr:1_{B4CD0F24-F95D-416B-AE58-7142890BC874}" xr6:coauthVersionLast="47" xr6:coauthVersionMax="47" xr10:uidLastSave="{00000000-0000-0000-0000-000000000000}"/>
  <bookViews>
    <workbookView xWindow="4320" yWindow="1693" windowWidth="12280" windowHeight="9585" tabRatio="815" firstSheet="6" activeTab="9" xr2:uid="{00000000-000D-0000-FFFF-FFFF00000000}"/>
  </bookViews>
  <sheets>
    <sheet name="首页" sheetId="1" r:id="rId1"/>
    <sheet name="全球新能源车销量" sheetId="12" r:id="rId2"/>
    <sheet name="欧洲新能源乘用车销量" sheetId="24" r:id="rId3"/>
    <sheet name="中国新能源汽车销量-中汽协" sheetId="7" r:id="rId4"/>
    <sheet name="中国新能源汽车销量-乘联会" sheetId="9" r:id="rId5"/>
    <sheet name="中国新能源车企批发销量-月度" sheetId="8" r:id="rId6"/>
    <sheet name="特斯拉中国" sheetId="23" r:id="rId7"/>
    <sheet name="充电桩-充电联盟" sheetId="10" r:id="rId8"/>
    <sheet name="风险提示" sheetId="21" r:id="rId9"/>
    <sheet name="重要声明" sheetId="25"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23" l="1"/>
  <c r="G23" i="8"/>
  <c r="G19" i="8"/>
  <c r="G21" i="8" s="1"/>
  <c r="G94" i="9"/>
  <c r="G95" i="9"/>
  <c r="G82" i="9"/>
  <c r="G83" i="9"/>
  <c r="G70" i="9"/>
  <c r="G61" i="9"/>
  <c r="G62" i="9"/>
  <c r="G49" i="9"/>
  <c r="G50" i="9"/>
  <c r="G47" i="9"/>
  <c r="G35" i="9"/>
  <c r="G26" i="9"/>
  <c r="G27" i="9"/>
  <c r="G14" i="9"/>
  <c r="G15" i="9"/>
  <c r="G54" i="7"/>
  <c r="G27" i="7"/>
  <c r="G28" i="7"/>
  <c r="G42" i="7"/>
  <c r="G43" i="7"/>
  <c r="H185" i="24"/>
  <c r="H178" i="24"/>
  <c r="H179" i="24"/>
  <c r="H194" i="24"/>
  <c r="H195" i="24"/>
  <c r="H157" i="24"/>
  <c r="H150" i="24"/>
  <c r="H151" i="24"/>
  <c r="H166" i="24"/>
  <c r="H167" i="24"/>
  <c r="H121" i="24"/>
  <c r="H129" i="24" s="1"/>
  <c r="H138" i="24"/>
  <c r="H139" i="24"/>
  <c r="H93" i="24"/>
  <c r="H101" i="24" s="1"/>
  <c r="H110" i="24"/>
  <c r="H111" i="24"/>
  <c r="H82" i="24"/>
  <c r="H83" i="24"/>
  <c r="H38" i="24"/>
  <c r="H37" i="24"/>
  <c r="H45" i="24" s="1"/>
  <c r="H54" i="24"/>
  <c r="H55" i="24"/>
  <c r="H9" i="24"/>
  <c r="H17" i="24" s="1"/>
  <c r="H26" i="24"/>
  <c r="H27" i="24"/>
  <c r="M66" i="10"/>
  <c r="I66" i="10"/>
  <c r="J66" i="10"/>
  <c r="M65" i="10"/>
  <c r="I65" i="10"/>
  <c r="F65" i="10" s="1"/>
  <c r="J65" i="10"/>
  <c r="F51" i="23"/>
  <c r="C13" i="23"/>
  <c r="C12" i="23"/>
  <c r="F23" i="8"/>
  <c r="F19" i="8"/>
  <c r="F21" i="8" s="1"/>
  <c r="F94" i="9"/>
  <c r="F95" i="9"/>
  <c r="F82" i="9"/>
  <c r="F83" i="9"/>
  <c r="F70" i="9"/>
  <c r="F61" i="9"/>
  <c r="F62" i="9"/>
  <c r="F49" i="9"/>
  <c r="F50" i="9"/>
  <c r="F35" i="9"/>
  <c r="F27" i="9"/>
  <c r="F26" i="9"/>
  <c r="F14" i="9"/>
  <c r="F15" i="9"/>
  <c r="F54" i="7"/>
  <c r="F42" i="7"/>
  <c r="F43" i="7"/>
  <c r="F27" i="7"/>
  <c r="F28" i="7"/>
  <c r="G185" i="24"/>
  <c r="G194" i="24"/>
  <c r="G195" i="24"/>
  <c r="G179" i="24"/>
  <c r="G166" i="24"/>
  <c r="G167" i="24"/>
  <c r="G157" i="24"/>
  <c r="G150" i="24"/>
  <c r="G151" i="24"/>
  <c r="G121" i="24"/>
  <c r="G123" i="24" s="1"/>
  <c r="G138" i="24"/>
  <c r="G139" i="24"/>
  <c r="G93" i="24"/>
  <c r="G101" i="24" s="1"/>
  <c r="G110" i="24"/>
  <c r="G111" i="24"/>
  <c r="G82" i="24"/>
  <c r="G83" i="24"/>
  <c r="G54" i="24"/>
  <c r="G55" i="24"/>
  <c r="G38" i="24"/>
  <c r="G37" i="24"/>
  <c r="G45" i="24" s="1"/>
  <c r="G17" i="24"/>
  <c r="G9" i="24"/>
  <c r="G26" i="24"/>
  <c r="G27" i="24"/>
  <c r="F13" i="12"/>
  <c r="D13" i="12"/>
  <c r="M64" i="10"/>
  <c r="K64" i="10"/>
  <c r="I64" i="10"/>
  <c r="J64" i="10"/>
  <c r="E51" i="23"/>
  <c r="E23" i="8"/>
  <c r="E19" i="8"/>
  <c r="E21" i="8" s="1"/>
  <c r="E94" i="9"/>
  <c r="E95" i="9"/>
  <c r="E82" i="9"/>
  <c r="E83" i="9"/>
  <c r="E70" i="9"/>
  <c r="E61" i="9"/>
  <c r="E62" i="9"/>
  <c r="E49" i="9"/>
  <c r="E50" i="9"/>
  <c r="E35" i="9"/>
  <c r="E26" i="9"/>
  <c r="E27" i="9"/>
  <c r="E14" i="9"/>
  <c r="E15" i="9"/>
  <c r="E54" i="7"/>
  <c r="E42" i="7"/>
  <c r="E43" i="7"/>
  <c r="E27" i="7"/>
  <c r="E28" i="7"/>
  <c r="F185" i="24"/>
  <c r="F179" i="24"/>
  <c r="F194" i="24"/>
  <c r="F195" i="24"/>
  <c r="F157" i="24"/>
  <c r="F150" i="24"/>
  <c r="F151" i="24"/>
  <c r="F166" i="24"/>
  <c r="F167" i="24"/>
  <c r="F121" i="24"/>
  <c r="F129" i="24" s="1"/>
  <c r="F138" i="24"/>
  <c r="F139" i="24"/>
  <c r="F93" i="24"/>
  <c r="F101" i="24" s="1"/>
  <c r="F110" i="24"/>
  <c r="F111" i="24"/>
  <c r="F82" i="24"/>
  <c r="F83" i="24"/>
  <c r="F45" i="24"/>
  <c r="F37" i="24"/>
  <c r="G39" i="24" s="1"/>
  <c r="F54" i="24"/>
  <c r="F55" i="24"/>
  <c r="F9" i="24"/>
  <c r="F26" i="24"/>
  <c r="F27" i="24"/>
  <c r="M63" i="10"/>
  <c r="J63" i="10"/>
  <c r="I63" i="10"/>
  <c r="F63" i="10" s="1"/>
  <c r="L63" i="10" s="1"/>
  <c r="D51" i="23"/>
  <c r="D23" i="8"/>
  <c r="D19" i="8"/>
  <c r="D21" i="8" s="1"/>
  <c r="D95" i="9"/>
  <c r="C95" i="9"/>
  <c r="D94" i="9"/>
  <c r="C94" i="9"/>
  <c r="N92" i="9"/>
  <c r="M92" i="9"/>
  <c r="L92" i="9"/>
  <c r="K92" i="9"/>
  <c r="J92" i="9"/>
  <c r="I92" i="9"/>
  <c r="H92" i="9"/>
  <c r="G92" i="9"/>
  <c r="F92" i="9"/>
  <c r="E92" i="9"/>
  <c r="D92" i="9"/>
  <c r="C92" i="9"/>
  <c r="O91" i="9"/>
  <c r="N91" i="9"/>
  <c r="M91" i="9"/>
  <c r="L91" i="9"/>
  <c r="K91" i="9"/>
  <c r="J91" i="9"/>
  <c r="I91" i="9"/>
  <c r="H91" i="9"/>
  <c r="G91" i="9"/>
  <c r="F91" i="9"/>
  <c r="E91" i="9"/>
  <c r="D91" i="9"/>
  <c r="C91" i="9"/>
  <c r="D83" i="9"/>
  <c r="D82" i="9"/>
  <c r="C83" i="9"/>
  <c r="C82" i="9"/>
  <c r="D70" i="9"/>
  <c r="D62" i="9"/>
  <c r="C62" i="9"/>
  <c r="D61" i="9"/>
  <c r="C61" i="9"/>
  <c r="D50" i="9"/>
  <c r="C50" i="9"/>
  <c r="D49" i="9"/>
  <c r="C49" i="9"/>
  <c r="D35" i="9"/>
  <c r="D27" i="9"/>
  <c r="C27" i="9"/>
  <c r="D26" i="9"/>
  <c r="C26" i="9"/>
  <c r="D15" i="9"/>
  <c r="C15" i="9"/>
  <c r="D14" i="9"/>
  <c r="C14" i="9"/>
  <c r="D54" i="7"/>
  <c r="D43" i="7"/>
  <c r="C43" i="7"/>
  <c r="D42" i="7"/>
  <c r="C42" i="7"/>
  <c r="D28" i="7"/>
  <c r="D27" i="7"/>
  <c r="C27" i="7"/>
  <c r="K66" i="10" l="1"/>
  <c r="K65" i="10"/>
  <c r="L65" i="10" s="1"/>
  <c r="F64" i="10"/>
  <c r="L64" i="10" s="1"/>
  <c r="F38" i="24"/>
  <c r="H10" i="24"/>
  <c r="H11" i="24"/>
  <c r="G11" i="24"/>
  <c r="G122" i="24"/>
  <c r="H94" i="24"/>
  <c r="H95" i="24"/>
  <c r="G10" i="24"/>
  <c r="G129" i="24"/>
  <c r="H39" i="24"/>
  <c r="H123" i="24"/>
  <c r="H122" i="24"/>
  <c r="F122" i="24"/>
  <c r="H64" i="10"/>
  <c r="F66" i="10"/>
  <c r="F94" i="24"/>
  <c r="G95" i="24"/>
  <c r="G94" i="24"/>
  <c r="H66" i="10"/>
  <c r="H65" i="10"/>
  <c r="F10" i="24"/>
  <c r="F17" i="24"/>
  <c r="E195" i="24"/>
  <c r="D195" i="24"/>
  <c r="E194" i="24"/>
  <c r="D194" i="24"/>
  <c r="E179" i="24"/>
  <c r="E185" i="24"/>
  <c r="E167" i="24"/>
  <c r="D167" i="24"/>
  <c r="E166" i="24"/>
  <c r="D166" i="24"/>
  <c r="E151" i="24"/>
  <c r="E150" i="24"/>
  <c r="D150" i="24"/>
  <c r="E157" i="24"/>
  <c r="E121" i="24"/>
  <c r="E139" i="24"/>
  <c r="E138" i="24"/>
  <c r="D138" i="24"/>
  <c r="E111" i="24"/>
  <c r="D111" i="24"/>
  <c r="E110" i="24"/>
  <c r="D110" i="24"/>
  <c r="E93" i="24"/>
  <c r="F95" i="24" s="1"/>
  <c r="E83" i="24"/>
  <c r="D83" i="24"/>
  <c r="E82" i="24"/>
  <c r="D82" i="24"/>
  <c r="E55" i="24"/>
  <c r="D55" i="24"/>
  <c r="E54" i="24"/>
  <c r="D54" i="24"/>
  <c r="E37" i="24"/>
  <c r="E45" i="24" s="1"/>
  <c r="E27" i="24"/>
  <c r="D27" i="24"/>
  <c r="E26" i="24"/>
  <c r="D26" i="24"/>
  <c r="E9" i="24"/>
  <c r="E17" i="24" s="1"/>
  <c r="C51" i="23"/>
  <c r="C23" i="8"/>
  <c r="C19" i="8"/>
  <c r="C21" i="8" s="1"/>
  <c r="C70" i="9"/>
  <c r="C35" i="9"/>
  <c r="C54" i="7"/>
  <c r="D185" i="24"/>
  <c r="D157" i="24"/>
  <c r="D121" i="24"/>
  <c r="D129" i="24" s="1"/>
  <c r="D93" i="24"/>
  <c r="D101" i="24" s="1"/>
  <c r="D65" i="24"/>
  <c r="D37" i="24"/>
  <c r="D45" i="24" s="1"/>
  <c r="D9" i="24"/>
  <c r="P184" i="24"/>
  <c r="K183" i="24"/>
  <c r="L183" i="24"/>
  <c r="M183" i="24"/>
  <c r="N183" i="24"/>
  <c r="O183" i="24"/>
  <c r="H184" i="24"/>
  <c r="I184" i="24"/>
  <c r="M184" i="24"/>
  <c r="N184" i="24"/>
  <c r="E182" i="24"/>
  <c r="F182" i="24"/>
  <c r="G182" i="24"/>
  <c r="H182" i="24"/>
  <c r="I182" i="24"/>
  <c r="J182" i="24"/>
  <c r="K182" i="24"/>
  <c r="L182" i="24"/>
  <c r="M182" i="24"/>
  <c r="N182" i="24"/>
  <c r="O182" i="24"/>
  <c r="D182" i="24"/>
  <c r="D155" i="24"/>
  <c r="E155" i="24"/>
  <c r="F155" i="24"/>
  <c r="G155" i="24"/>
  <c r="H155" i="24"/>
  <c r="M155" i="24"/>
  <c r="N155" i="24"/>
  <c r="D156" i="24"/>
  <c r="E156" i="24"/>
  <c r="F156" i="24"/>
  <c r="G156" i="24"/>
  <c r="H156" i="24"/>
  <c r="M156" i="24"/>
  <c r="N156" i="24"/>
  <c r="E154" i="24"/>
  <c r="F154" i="24"/>
  <c r="G154" i="24"/>
  <c r="H154" i="24"/>
  <c r="I154" i="24"/>
  <c r="J154" i="24"/>
  <c r="K154" i="24"/>
  <c r="L154" i="24"/>
  <c r="M154" i="24"/>
  <c r="N154" i="24"/>
  <c r="O154" i="24"/>
  <c r="D154" i="24"/>
  <c r="D127" i="24"/>
  <c r="E127" i="24"/>
  <c r="F127" i="24"/>
  <c r="G127" i="24"/>
  <c r="H127" i="24"/>
  <c r="I127" i="24"/>
  <c r="J127" i="24"/>
  <c r="K127" i="24"/>
  <c r="L127" i="24"/>
  <c r="M127" i="24"/>
  <c r="N127" i="24"/>
  <c r="O127" i="24"/>
  <c r="D128" i="24"/>
  <c r="E128" i="24"/>
  <c r="F128" i="24"/>
  <c r="G128" i="24"/>
  <c r="H128" i="24"/>
  <c r="I128" i="24"/>
  <c r="E126" i="24"/>
  <c r="F126" i="24"/>
  <c r="G126" i="24"/>
  <c r="H126" i="24"/>
  <c r="I126" i="24"/>
  <c r="J126" i="24"/>
  <c r="K126" i="24"/>
  <c r="L126" i="24"/>
  <c r="M126" i="24"/>
  <c r="N126" i="24"/>
  <c r="O126" i="24"/>
  <c r="D126" i="24"/>
  <c r="O99" i="24"/>
  <c r="D99" i="24"/>
  <c r="E99" i="24"/>
  <c r="F99" i="24"/>
  <c r="G99" i="24"/>
  <c r="H99" i="24"/>
  <c r="I99" i="24"/>
  <c r="J99" i="24"/>
  <c r="K99" i="24"/>
  <c r="L99" i="24"/>
  <c r="M99" i="24"/>
  <c r="N99" i="24"/>
  <c r="D100" i="24"/>
  <c r="E100" i="24"/>
  <c r="F100" i="24"/>
  <c r="G100" i="24"/>
  <c r="H100" i="24"/>
  <c r="I100" i="24"/>
  <c r="E98" i="24"/>
  <c r="F98" i="24"/>
  <c r="G98" i="24"/>
  <c r="H98" i="24"/>
  <c r="I98" i="24"/>
  <c r="J98" i="24"/>
  <c r="K98" i="24"/>
  <c r="L98" i="24"/>
  <c r="M98" i="24"/>
  <c r="N98" i="24"/>
  <c r="O98" i="24"/>
  <c r="D98" i="24"/>
  <c r="E70" i="24"/>
  <c r="F70" i="24"/>
  <c r="G70" i="24"/>
  <c r="H70" i="24"/>
  <c r="I70" i="24"/>
  <c r="J70" i="24"/>
  <c r="K70" i="24"/>
  <c r="L70" i="24"/>
  <c r="M70" i="24"/>
  <c r="N70" i="24"/>
  <c r="O70" i="24"/>
  <c r="E71" i="24"/>
  <c r="F71" i="24"/>
  <c r="G71" i="24"/>
  <c r="H71" i="24"/>
  <c r="I71" i="24"/>
  <c r="M71" i="24"/>
  <c r="N71" i="24"/>
  <c r="O71" i="24"/>
  <c r="E72" i="24"/>
  <c r="F72" i="24"/>
  <c r="G72" i="24"/>
  <c r="H72" i="24"/>
  <c r="D71" i="24"/>
  <c r="D72" i="24"/>
  <c r="D70" i="24"/>
  <c r="E42" i="24"/>
  <c r="F42" i="24"/>
  <c r="G42" i="24"/>
  <c r="H42" i="24"/>
  <c r="I42" i="24"/>
  <c r="J42" i="24"/>
  <c r="K42" i="24"/>
  <c r="L42" i="24"/>
  <c r="M42" i="24"/>
  <c r="N42" i="24"/>
  <c r="O42" i="24"/>
  <c r="E43" i="24"/>
  <c r="F43" i="24"/>
  <c r="G43" i="24"/>
  <c r="H43" i="24"/>
  <c r="I43" i="24"/>
  <c r="J43" i="24"/>
  <c r="K43" i="24"/>
  <c r="L43" i="24"/>
  <c r="M43" i="24"/>
  <c r="N43" i="24"/>
  <c r="O43" i="24"/>
  <c r="E44" i="24"/>
  <c r="F44" i="24"/>
  <c r="G44" i="24"/>
  <c r="H44" i="24"/>
  <c r="I44" i="24"/>
  <c r="D43" i="24"/>
  <c r="D44" i="24"/>
  <c r="D42" i="24"/>
  <c r="P48" i="24"/>
  <c r="E14" i="24"/>
  <c r="F14" i="24"/>
  <c r="G14" i="24"/>
  <c r="H14" i="24"/>
  <c r="I14" i="24"/>
  <c r="J14" i="24"/>
  <c r="K14" i="24"/>
  <c r="L14" i="24"/>
  <c r="M14" i="24"/>
  <c r="N14" i="24"/>
  <c r="O14" i="24"/>
  <c r="E15" i="24"/>
  <c r="F15" i="24"/>
  <c r="G15" i="24"/>
  <c r="H15" i="24"/>
  <c r="I15" i="24"/>
  <c r="J15" i="24"/>
  <c r="K15" i="24"/>
  <c r="L15" i="24"/>
  <c r="M15" i="24"/>
  <c r="N15" i="24"/>
  <c r="O15" i="24"/>
  <c r="E16" i="24"/>
  <c r="F16" i="24"/>
  <c r="G16" i="24"/>
  <c r="H16" i="24"/>
  <c r="I16" i="24"/>
  <c r="D15" i="24"/>
  <c r="D16" i="24"/>
  <c r="D14" i="24"/>
  <c r="O79" i="9"/>
  <c r="O58" i="9"/>
  <c r="O23" i="9"/>
  <c r="L66" i="10" l="1"/>
  <c r="E122" i="24"/>
  <c r="F123" i="24"/>
  <c r="F39" i="24"/>
  <c r="F11" i="24"/>
  <c r="E129" i="24"/>
  <c r="E123" i="24"/>
  <c r="D122" i="24"/>
  <c r="E95" i="24"/>
  <c r="E101" i="24"/>
  <c r="D94" i="24"/>
  <c r="E94" i="24"/>
  <c r="E11" i="24"/>
  <c r="D73" i="24"/>
  <c r="D66" i="24"/>
  <c r="E65" i="24"/>
  <c r="F65" i="24" s="1"/>
  <c r="E10" i="24"/>
  <c r="E39" i="24"/>
  <c r="D38" i="24"/>
  <c r="E38" i="24"/>
  <c r="D10" i="24"/>
  <c r="D17" i="24"/>
  <c r="O11" i="9"/>
  <c r="N11" i="9"/>
  <c r="M62" i="10"/>
  <c r="I62" i="10"/>
  <c r="J62" i="10"/>
  <c r="M61" i="10"/>
  <c r="I61" i="10"/>
  <c r="J61" i="10"/>
  <c r="M60" i="10"/>
  <c r="I60" i="10"/>
  <c r="J60" i="10"/>
  <c r="M59" i="10"/>
  <c r="I59" i="10"/>
  <c r="J59" i="10"/>
  <c r="M58" i="10"/>
  <c r="I58" i="10"/>
  <c r="J58" i="10"/>
  <c r="E41" i="10"/>
  <c r="E37" i="10"/>
  <c r="E38" i="10"/>
  <c r="E50" i="10" s="1"/>
  <c r="E51" i="10" s="1"/>
  <c r="J52" i="10" s="1"/>
  <c r="G10" i="23"/>
  <c r="O44" i="23"/>
  <c r="O43" i="23"/>
  <c r="O26" i="8"/>
  <c r="O27" i="8"/>
  <c r="O28" i="8"/>
  <c r="O29" i="8"/>
  <c r="O30" i="8"/>
  <c r="O31" i="8"/>
  <c r="O32" i="8"/>
  <c r="O33" i="8"/>
  <c r="O34" i="8"/>
  <c r="O35" i="8"/>
  <c r="O36" i="8"/>
  <c r="O37" i="8"/>
  <c r="O38" i="8"/>
  <c r="O39" i="8"/>
  <c r="D45" i="23"/>
  <c r="E45" i="23"/>
  <c r="F45" i="23"/>
  <c r="G45" i="23"/>
  <c r="H45" i="23"/>
  <c r="I45" i="23"/>
  <c r="J45" i="23"/>
  <c r="K45" i="23"/>
  <c r="L45" i="23"/>
  <c r="M45" i="23"/>
  <c r="N45" i="23"/>
  <c r="C45" i="23"/>
  <c r="N44" i="8"/>
  <c r="N40" i="8"/>
  <c r="N42" i="8" s="1"/>
  <c r="M44" i="8"/>
  <c r="M40" i="8"/>
  <c r="M42" i="8" s="1"/>
  <c r="L44" i="8"/>
  <c r="K40" i="8"/>
  <c r="N79" i="9"/>
  <c r="N80" i="9"/>
  <c r="N69" i="9"/>
  <c r="O69" i="9"/>
  <c r="N58" i="9"/>
  <c r="N59" i="9"/>
  <c r="N46" i="9"/>
  <c r="N47" i="9"/>
  <c r="N34" i="9"/>
  <c r="O34" i="9"/>
  <c r="N23" i="9"/>
  <c r="N24" i="9"/>
  <c r="N12" i="9"/>
  <c r="M79" i="9"/>
  <c r="M80" i="9"/>
  <c r="M69" i="9"/>
  <c r="M58" i="9"/>
  <c r="M59" i="9"/>
  <c r="M46" i="9"/>
  <c r="M47" i="9"/>
  <c r="M34" i="9"/>
  <c r="M23" i="9"/>
  <c r="M24" i="9"/>
  <c r="M11" i="9"/>
  <c r="M12" i="9"/>
  <c r="N12" i="7"/>
  <c r="N11" i="7"/>
  <c r="N9" i="7"/>
  <c r="N7" i="7"/>
  <c r="N4" i="7"/>
  <c r="M53" i="7"/>
  <c r="O53" i="7"/>
  <c r="O24" i="7"/>
  <c r="N23" i="7"/>
  <c r="O39" i="7"/>
  <c r="N39" i="7"/>
  <c r="N40" i="7"/>
  <c r="M24" i="7"/>
  <c r="M25" i="7"/>
  <c r="M39" i="7"/>
  <c r="M40" i="7"/>
  <c r="P118" i="24"/>
  <c r="P128" i="24" s="1"/>
  <c r="O134" i="24"/>
  <c r="N118" i="24"/>
  <c r="N128" i="24" s="1"/>
  <c r="O191" i="24"/>
  <c r="O192" i="24"/>
  <c r="P145" i="24"/>
  <c r="P146" i="24"/>
  <c r="O145" i="24"/>
  <c r="O146" i="24"/>
  <c r="D151" i="24" s="1"/>
  <c r="P161" i="24"/>
  <c r="P162" i="24"/>
  <c r="O163" i="24"/>
  <c r="O164" i="24"/>
  <c r="O90" i="24"/>
  <c r="O100" i="24" s="1"/>
  <c r="O107" i="24"/>
  <c r="O108" i="24"/>
  <c r="O34" i="24"/>
  <c r="D39" i="24" s="1"/>
  <c r="O51" i="24"/>
  <c r="O52" i="24"/>
  <c r="P62" i="24"/>
  <c r="O79" i="24"/>
  <c r="O80" i="24"/>
  <c r="P6" i="24"/>
  <c r="O23" i="24"/>
  <c r="O24" i="24"/>
  <c r="F4" i="12"/>
  <c r="F5" i="12"/>
  <c r="F6" i="12"/>
  <c r="F7" i="12"/>
  <c r="F8" i="12"/>
  <c r="F9" i="12"/>
  <c r="F10" i="12"/>
  <c r="F11" i="12"/>
  <c r="F12" i="12"/>
  <c r="F3" i="12"/>
  <c r="D5" i="12"/>
  <c r="D6" i="12"/>
  <c r="D7" i="12"/>
  <c r="D8" i="12"/>
  <c r="D9" i="12"/>
  <c r="D10" i="12"/>
  <c r="D11" i="12"/>
  <c r="D12" i="12"/>
  <c r="D4" i="12"/>
  <c r="P32" i="24"/>
  <c r="P42" i="24" s="1"/>
  <c r="P4" i="24"/>
  <c r="P20" i="24"/>
  <c r="P5" i="24"/>
  <c r="P21" i="24"/>
  <c r="J6" i="24"/>
  <c r="K6" i="24"/>
  <c r="L6" i="24"/>
  <c r="M6" i="24"/>
  <c r="N6" i="24"/>
  <c r="P22" i="24"/>
  <c r="D7" i="24"/>
  <c r="E7" i="24"/>
  <c r="F7" i="24"/>
  <c r="G7" i="24"/>
  <c r="H7" i="24"/>
  <c r="I7" i="24"/>
  <c r="D23" i="24"/>
  <c r="E23" i="24"/>
  <c r="F23" i="24"/>
  <c r="G23" i="24"/>
  <c r="H23" i="24"/>
  <c r="I23" i="24"/>
  <c r="J23" i="24"/>
  <c r="K23" i="24"/>
  <c r="L23" i="24"/>
  <c r="M23" i="24"/>
  <c r="N23" i="24"/>
  <c r="D8" i="24"/>
  <c r="E8" i="24"/>
  <c r="F8" i="24"/>
  <c r="G8" i="24"/>
  <c r="H8" i="24"/>
  <c r="I8" i="24"/>
  <c r="D24" i="24"/>
  <c r="E24" i="24"/>
  <c r="F24" i="24"/>
  <c r="G24" i="24"/>
  <c r="H24" i="24"/>
  <c r="I24" i="24"/>
  <c r="J24" i="24"/>
  <c r="K24" i="24"/>
  <c r="L24" i="24"/>
  <c r="M24" i="24"/>
  <c r="N24" i="24"/>
  <c r="P33" i="24"/>
  <c r="P49" i="24"/>
  <c r="J34" i="24"/>
  <c r="J44" i="24" s="1"/>
  <c r="K34" i="24"/>
  <c r="K44" i="24" s="1"/>
  <c r="L34" i="24"/>
  <c r="L44" i="24" s="1"/>
  <c r="M34" i="24"/>
  <c r="M44" i="24" s="1"/>
  <c r="N34" i="24"/>
  <c r="P50" i="24"/>
  <c r="D35" i="24"/>
  <c r="E35" i="24"/>
  <c r="F35" i="24"/>
  <c r="G35" i="24"/>
  <c r="H35" i="24"/>
  <c r="I35" i="24"/>
  <c r="D51" i="24"/>
  <c r="E51" i="24"/>
  <c r="F51" i="24"/>
  <c r="G51" i="24"/>
  <c r="H51" i="24"/>
  <c r="I51" i="24"/>
  <c r="J51" i="24"/>
  <c r="K51" i="24"/>
  <c r="L51" i="24"/>
  <c r="M51" i="24"/>
  <c r="N51" i="24"/>
  <c r="D36" i="24"/>
  <c r="E36" i="24"/>
  <c r="F36" i="24"/>
  <c r="G36" i="24"/>
  <c r="H36" i="24"/>
  <c r="I36" i="24"/>
  <c r="D52" i="24"/>
  <c r="E52" i="24"/>
  <c r="F52" i="24"/>
  <c r="G52" i="24"/>
  <c r="H52" i="24"/>
  <c r="I52" i="24"/>
  <c r="J52" i="24"/>
  <c r="K52" i="24"/>
  <c r="L52" i="24"/>
  <c r="M52" i="24"/>
  <c r="N52" i="24"/>
  <c r="P60" i="24"/>
  <c r="P76" i="24"/>
  <c r="J61" i="24"/>
  <c r="J71" i="24" s="1"/>
  <c r="K61" i="24"/>
  <c r="K71" i="24" s="1"/>
  <c r="L61" i="24"/>
  <c r="L71" i="24" s="1"/>
  <c r="P77" i="24"/>
  <c r="I62" i="24"/>
  <c r="I72" i="24" s="1"/>
  <c r="J62" i="24"/>
  <c r="J72" i="24" s="1"/>
  <c r="K62" i="24"/>
  <c r="K72" i="24" s="1"/>
  <c r="L62" i="24"/>
  <c r="L72" i="24" s="1"/>
  <c r="P78" i="24"/>
  <c r="D63" i="24"/>
  <c r="E63" i="24"/>
  <c r="F63" i="24"/>
  <c r="G63" i="24"/>
  <c r="H63" i="24"/>
  <c r="D79" i="24"/>
  <c r="E79" i="24"/>
  <c r="F79" i="24"/>
  <c r="G79" i="24"/>
  <c r="H79" i="24"/>
  <c r="I79" i="24"/>
  <c r="J79" i="24"/>
  <c r="K79" i="24"/>
  <c r="L79" i="24"/>
  <c r="M79" i="24"/>
  <c r="N79" i="24"/>
  <c r="D64" i="24"/>
  <c r="E64" i="24"/>
  <c r="F64" i="24"/>
  <c r="G64" i="24"/>
  <c r="H64" i="24"/>
  <c r="D80" i="24"/>
  <c r="E80" i="24"/>
  <c r="F80" i="24"/>
  <c r="G80" i="24"/>
  <c r="H80" i="24"/>
  <c r="I80" i="24"/>
  <c r="J80" i="24"/>
  <c r="K80" i="24"/>
  <c r="L80" i="24"/>
  <c r="M80" i="24"/>
  <c r="N80" i="24"/>
  <c r="P88" i="24"/>
  <c r="P104" i="24"/>
  <c r="P89" i="24"/>
  <c r="P105" i="24"/>
  <c r="J90" i="24"/>
  <c r="J100" i="24" s="1"/>
  <c r="K90" i="24"/>
  <c r="K100" i="24" s="1"/>
  <c r="L90" i="24"/>
  <c r="L100" i="24" s="1"/>
  <c r="M90" i="24"/>
  <c r="M100" i="24" s="1"/>
  <c r="N90" i="24"/>
  <c r="N100" i="24" s="1"/>
  <c r="P106" i="24"/>
  <c r="D91" i="24"/>
  <c r="E91" i="24"/>
  <c r="F91" i="24"/>
  <c r="G91" i="24"/>
  <c r="H91" i="24"/>
  <c r="I91" i="24"/>
  <c r="D107" i="24"/>
  <c r="E107" i="24"/>
  <c r="F107" i="24"/>
  <c r="G107" i="24"/>
  <c r="H107" i="24"/>
  <c r="I107" i="24"/>
  <c r="J107" i="24"/>
  <c r="K107" i="24"/>
  <c r="L107" i="24"/>
  <c r="M107" i="24"/>
  <c r="N107" i="24"/>
  <c r="D92" i="24"/>
  <c r="E92" i="24"/>
  <c r="F92" i="24"/>
  <c r="G92" i="24"/>
  <c r="H92" i="24"/>
  <c r="I92" i="24"/>
  <c r="D108" i="24"/>
  <c r="E108" i="24"/>
  <c r="F108" i="24"/>
  <c r="G108" i="24"/>
  <c r="H108" i="24"/>
  <c r="I108" i="24"/>
  <c r="J108" i="24"/>
  <c r="K108" i="24"/>
  <c r="L108" i="24"/>
  <c r="M108" i="24"/>
  <c r="N108" i="24"/>
  <c r="P116" i="24"/>
  <c r="P132" i="24"/>
  <c r="P117" i="24"/>
  <c r="P133" i="24"/>
  <c r="P135" i="24" s="1"/>
  <c r="J118" i="24"/>
  <c r="K118" i="24"/>
  <c r="L118" i="24"/>
  <c r="M118" i="24"/>
  <c r="D119" i="24"/>
  <c r="E119" i="24"/>
  <c r="F119" i="24"/>
  <c r="G119" i="24"/>
  <c r="H119" i="24"/>
  <c r="I119" i="24"/>
  <c r="D135" i="24"/>
  <c r="E135" i="24"/>
  <c r="F135" i="24"/>
  <c r="G135" i="24"/>
  <c r="H135" i="24"/>
  <c r="I135" i="24"/>
  <c r="J135" i="24"/>
  <c r="K135" i="24"/>
  <c r="L135" i="24"/>
  <c r="M135" i="24"/>
  <c r="N135" i="24"/>
  <c r="D120" i="24"/>
  <c r="E120" i="24"/>
  <c r="F120" i="24"/>
  <c r="G120" i="24"/>
  <c r="H120" i="24"/>
  <c r="I120" i="24"/>
  <c r="D136" i="24"/>
  <c r="E136" i="24"/>
  <c r="F136" i="24"/>
  <c r="G136" i="24"/>
  <c r="H136" i="24"/>
  <c r="I136" i="24"/>
  <c r="J136" i="24"/>
  <c r="K136" i="24"/>
  <c r="L136" i="24"/>
  <c r="M136" i="24"/>
  <c r="N136" i="24"/>
  <c r="P144" i="24"/>
  <c r="P160" i="24"/>
  <c r="I145" i="24"/>
  <c r="I155" i="24" s="1"/>
  <c r="J145" i="24"/>
  <c r="J155" i="24" s="1"/>
  <c r="K145" i="24"/>
  <c r="K155" i="24" s="1"/>
  <c r="L145" i="24"/>
  <c r="L155" i="24" s="1"/>
  <c r="I146" i="24"/>
  <c r="J146" i="24"/>
  <c r="J156" i="24" s="1"/>
  <c r="K146" i="24"/>
  <c r="K156" i="24" s="1"/>
  <c r="L146" i="24"/>
  <c r="D147" i="24"/>
  <c r="E147" i="24"/>
  <c r="F147" i="24"/>
  <c r="G147" i="24"/>
  <c r="H147" i="24"/>
  <c r="M147" i="24"/>
  <c r="N147" i="24"/>
  <c r="D163" i="24"/>
  <c r="E163" i="24"/>
  <c r="F163" i="24"/>
  <c r="G163" i="24"/>
  <c r="H163" i="24"/>
  <c r="I163" i="24"/>
  <c r="J163" i="24"/>
  <c r="K163" i="24"/>
  <c r="L163" i="24"/>
  <c r="M163" i="24"/>
  <c r="N163" i="24"/>
  <c r="E148" i="24"/>
  <c r="F148" i="24"/>
  <c r="G148" i="24"/>
  <c r="H148" i="24"/>
  <c r="N148" i="24"/>
  <c r="D164" i="24"/>
  <c r="E164" i="24"/>
  <c r="F164" i="24"/>
  <c r="G164" i="24"/>
  <c r="H164" i="24"/>
  <c r="I164" i="24"/>
  <c r="J164" i="24"/>
  <c r="K164" i="24"/>
  <c r="L164" i="24"/>
  <c r="M164" i="24"/>
  <c r="N164" i="24"/>
  <c r="P172" i="24"/>
  <c r="P188" i="24"/>
  <c r="D173" i="24"/>
  <c r="D183" i="24" s="1"/>
  <c r="E173" i="24"/>
  <c r="E183" i="24" s="1"/>
  <c r="F173" i="24"/>
  <c r="F183" i="24" s="1"/>
  <c r="G173" i="24"/>
  <c r="G183" i="24" s="1"/>
  <c r="H173" i="24"/>
  <c r="I173" i="24"/>
  <c r="J173" i="24"/>
  <c r="J183" i="24" s="1"/>
  <c r="P189" i="24"/>
  <c r="P191" i="24" s="1"/>
  <c r="D174" i="24"/>
  <c r="E174" i="24"/>
  <c r="F174" i="24"/>
  <c r="G174" i="24"/>
  <c r="G178" i="24" s="1"/>
  <c r="J174" i="24"/>
  <c r="K174" i="24"/>
  <c r="L174" i="24"/>
  <c r="M175" i="24"/>
  <c r="N175" i="24"/>
  <c r="D191" i="24"/>
  <c r="E191" i="24"/>
  <c r="F191" i="24"/>
  <c r="G191" i="24"/>
  <c r="H191" i="24"/>
  <c r="I191" i="24"/>
  <c r="J191" i="24"/>
  <c r="K191" i="24"/>
  <c r="L191" i="24"/>
  <c r="M191" i="24"/>
  <c r="N191" i="24"/>
  <c r="I176" i="24"/>
  <c r="N176" i="24"/>
  <c r="D192" i="24"/>
  <c r="E192" i="24"/>
  <c r="F192" i="24"/>
  <c r="G192" i="24"/>
  <c r="H192" i="24"/>
  <c r="I192" i="24"/>
  <c r="J192" i="24"/>
  <c r="K192" i="24"/>
  <c r="L192" i="24"/>
  <c r="M192" i="24"/>
  <c r="N192" i="24"/>
  <c r="F73" i="24" l="1"/>
  <c r="F66" i="24"/>
  <c r="F67" i="24"/>
  <c r="F184" i="24"/>
  <c r="F178" i="24"/>
  <c r="G65" i="24"/>
  <c r="H65" i="24" s="1"/>
  <c r="N24" i="7"/>
  <c r="C28" i="7"/>
  <c r="F62" i="10"/>
  <c r="H63" i="10" s="1"/>
  <c r="F58" i="10"/>
  <c r="F59" i="10"/>
  <c r="H59" i="10" s="1"/>
  <c r="E184" i="24"/>
  <c r="E178" i="24"/>
  <c r="D184" i="24"/>
  <c r="D178" i="24"/>
  <c r="O135" i="24"/>
  <c r="D139" i="24"/>
  <c r="D95" i="24"/>
  <c r="E67" i="24"/>
  <c r="E73" i="24"/>
  <c r="E66" i="24"/>
  <c r="P156" i="24"/>
  <c r="P154" i="24"/>
  <c r="O45" i="23"/>
  <c r="M148" i="24"/>
  <c r="L156" i="24"/>
  <c r="P182" i="24"/>
  <c r="I148" i="24"/>
  <c r="I156" i="24"/>
  <c r="M176" i="24"/>
  <c r="L184" i="24"/>
  <c r="H176" i="24"/>
  <c r="G184" i="24"/>
  <c r="O148" i="24"/>
  <c r="O156" i="24"/>
  <c r="J176" i="24"/>
  <c r="J184" i="24"/>
  <c r="K175" i="24"/>
  <c r="K184" i="24"/>
  <c r="D148" i="24"/>
  <c r="O155" i="24"/>
  <c r="P155" i="24"/>
  <c r="I175" i="24"/>
  <c r="I183" i="24"/>
  <c r="H175" i="24"/>
  <c r="H183" i="24"/>
  <c r="K119" i="24"/>
  <c r="K128" i="24"/>
  <c r="M119" i="24"/>
  <c r="M128" i="24"/>
  <c r="L119" i="24"/>
  <c r="L128" i="24"/>
  <c r="J119" i="24"/>
  <c r="J128" i="24"/>
  <c r="P127" i="24"/>
  <c r="P126" i="24"/>
  <c r="P98" i="24"/>
  <c r="P99" i="24"/>
  <c r="O91" i="24"/>
  <c r="M91" i="24"/>
  <c r="L91" i="24"/>
  <c r="J92" i="24"/>
  <c r="P70" i="24"/>
  <c r="P72" i="24"/>
  <c r="I63" i="24"/>
  <c r="P43" i="24"/>
  <c r="O35" i="24"/>
  <c r="O44" i="24"/>
  <c r="N35" i="24"/>
  <c r="N44" i="24"/>
  <c r="P119" i="24"/>
  <c r="P16" i="24"/>
  <c r="J7" i="24"/>
  <c r="J16" i="24"/>
  <c r="P15" i="24"/>
  <c r="P14" i="24"/>
  <c r="N7" i="24"/>
  <c r="N16" i="24"/>
  <c r="M7" i="24"/>
  <c r="M16" i="24"/>
  <c r="L7" i="24"/>
  <c r="L16" i="24"/>
  <c r="K7" i="24"/>
  <c r="K16" i="24"/>
  <c r="M36" i="24"/>
  <c r="K63" i="24"/>
  <c r="P51" i="24"/>
  <c r="P79" i="24"/>
  <c r="P163" i="24"/>
  <c r="O6" i="24"/>
  <c r="D11" i="24" s="1"/>
  <c r="P23" i="24"/>
  <c r="P7" i="24"/>
  <c r="L175" i="24"/>
  <c r="P107" i="24"/>
  <c r="G176" i="24"/>
  <c r="O147" i="24"/>
  <c r="K147" i="24"/>
  <c r="O174" i="24"/>
  <c r="D179" i="24" s="1"/>
  <c r="J147" i="24"/>
  <c r="O36" i="24"/>
  <c r="O92" i="24"/>
  <c r="J175" i="24"/>
  <c r="G175" i="24"/>
  <c r="N120" i="24"/>
  <c r="L176" i="24"/>
  <c r="J148" i="24"/>
  <c r="N92" i="24"/>
  <c r="L63" i="24"/>
  <c r="O118" i="24"/>
  <c r="K176" i="24"/>
  <c r="N53" i="7"/>
  <c r="N25" i="7"/>
  <c r="F60" i="10"/>
  <c r="F61" i="10"/>
  <c r="O136" i="24"/>
  <c r="P61" i="24"/>
  <c r="P71" i="24" s="1"/>
  <c r="K148" i="24"/>
  <c r="M92" i="24"/>
  <c r="N91" i="24"/>
  <c r="N119" i="24"/>
  <c r="P147" i="24"/>
  <c r="I147" i="24"/>
  <c r="L64" i="24"/>
  <c r="L36" i="24"/>
  <c r="K36" i="24"/>
  <c r="L148" i="24"/>
  <c r="P173" i="24"/>
  <c r="J63" i="24"/>
  <c r="P34" i="24"/>
  <c r="N8" i="24"/>
  <c r="L147" i="24"/>
  <c r="F175" i="24"/>
  <c r="L92" i="24"/>
  <c r="J36" i="24"/>
  <c r="E176" i="24"/>
  <c r="M35" i="24"/>
  <c r="M120" i="24"/>
  <c r="J91" i="24"/>
  <c r="K64" i="24"/>
  <c r="L35" i="24"/>
  <c r="M8" i="24"/>
  <c r="L120" i="24"/>
  <c r="J64" i="24"/>
  <c r="M62" i="24"/>
  <c r="M72" i="24" s="1"/>
  <c r="K35" i="24"/>
  <c r="L8" i="24"/>
  <c r="F176" i="24"/>
  <c r="K91" i="24"/>
  <c r="D176" i="24"/>
  <c r="K120" i="24"/>
  <c r="I64" i="24"/>
  <c r="J35" i="24"/>
  <c r="K8" i="24"/>
  <c r="J120" i="24"/>
  <c r="J8" i="24"/>
  <c r="E175" i="24"/>
  <c r="D175" i="24"/>
  <c r="P90" i="24"/>
  <c r="P100" i="24" s="1"/>
  <c r="K92" i="24"/>
  <c r="N36" i="24"/>
  <c r="O41" i="23"/>
  <c r="O40" i="23"/>
  <c r="M39" i="23"/>
  <c r="L39" i="23"/>
  <c r="K39" i="23"/>
  <c r="J39" i="23"/>
  <c r="I39" i="23"/>
  <c r="G39" i="23"/>
  <c r="F39" i="23"/>
  <c r="E39" i="23"/>
  <c r="D39" i="23"/>
  <c r="C39" i="23"/>
  <c r="O38" i="23"/>
  <c r="O37" i="23"/>
  <c r="O35" i="23"/>
  <c r="O34" i="23"/>
  <c r="N33" i="23"/>
  <c r="I33" i="23"/>
  <c r="H33" i="23"/>
  <c r="G33" i="23"/>
  <c r="F33" i="23"/>
  <c r="O32" i="23"/>
  <c r="O31" i="23"/>
  <c r="O29" i="23"/>
  <c r="O28" i="23"/>
  <c r="M27" i="23"/>
  <c r="L27" i="23"/>
  <c r="K27" i="23"/>
  <c r="J27" i="23"/>
  <c r="I27" i="23"/>
  <c r="H27" i="23"/>
  <c r="G27" i="23"/>
  <c r="F27" i="23"/>
  <c r="E27" i="23"/>
  <c r="D27" i="23"/>
  <c r="C27" i="23"/>
  <c r="O26" i="23"/>
  <c r="O25" i="23"/>
  <c r="O23" i="23"/>
  <c r="O22" i="23"/>
  <c r="N21" i="23"/>
  <c r="M21" i="23"/>
  <c r="L21" i="23"/>
  <c r="K21" i="23"/>
  <c r="J21" i="23"/>
  <c r="I21" i="23"/>
  <c r="H21" i="23"/>
  <c r="G21" i="23"/>
  <c r="F21" i="23"/>
  <c r="E21" i="23"/>
  <c r="D21" i="23"/>
  <c r="C21" i="23"/>
  <c r="O20" i="23"/>
  <c r="O19" i="23"/>
  <c r="G9" i="23"/>
  <c r="G8" i="23"/>
  <c r="G7" i="23"/>
  <c r="H67" i="24" l="1"/>
  <c r="H73" i="24"/>
  <c r="H66" i="24"/>
  <c r="H62" i="10"/>
  <c r="G73" i="24"/>
  <c r="G66" i="24"/>
  <c r="G67" i="24"/>
  <c r="H61" i="10"/>
  <c r="P29" i="23"/>
  <c r="H60" i="10"/>
  <c r="P31" i="23"/>
  <c r="P32" i="23"/>
  <c r="O128" i="24"/>
  <c r="D123" i="24"/>
  <c r="O33" i="23"/>
  <c r="P175" i="24"/>
  <c r="P183" i="24"/>
  <c r="O175" i="24"/>
  <c r="O184" i="24"/>
  <c r="P91" i="24"/>
  <c r="P63" i="24"/>
  <c r="P35" i="24"/>
  <c r="P44" i="24"/>
  <c r="O8" i="24"/>
  <c r="O16" i="24"/>
  <c r="O7" i="24"/>
  <c r="O176" i="24"/>
  <c r="O119" i="24"/>
  <c r="O120" i="24"/>
  <c r="O27" i="23"/>
  <c r="P28" i="23"/>
  <c r="P40" i="23"/>
  <c r="P46" i="23"/>
  <c r="P25" i="23"/>
  <c r="P26" i="23"/>
  <c r="P34" i="23"/>
  <c r="P37" i="23"/>
  <c r="O21" i="23"/>
  <c r="P41" i="23"/>
  <c r="P47" i="23"/>
  <c r="P35" i="23"/>
  <c r="P38" i="23"/>
  <c r="O39" i="23"/>
  <c r="P45" i="23" s="1"/>
  <c r="P44" i="23"/>
  <c r="P43" i="23"/>
  <c r="M63" i="24"/>
  <c r="M64" i="24"/>
  <c r="N62" i="24"/>
  <c r="N72" i="24" s="1"/>
  <c r="P33" i="23" l="1"/>
  <c r="P27" i="23"/>
  <c r="O62" i="24"/>
  <c r="P39" i="23"/>
  <c r="N64" i="24"/>
  <c r="N63" i="24"/>
  <c r="M57" i="10"/>
  <c r="J57" i="10"/>
  <c r="I57" i="10"/>
  <c r="M56" i="10"/>
  <c r="J56" i="10"/>
  <c r="I56" i="10"/>
  <c r="M55" i="10"/>
  <c r="J55" i="10"/>
  <c r="I55" i="10"/>
  <c r="M54" i="10"/>
  <c r="J54" i="10"/>
  <c r="I54" i="10"/>
  <c r="M53" i="10"/>
  <c r="J53" i="10"/>
  <c r="K52" i="10"/>
  <c r="D52" i="10"/>
  <c r="J51" i="10"/>
  <c r="I51" i="10"/>
  <c r="C51" i="10"/>
  <c r="M51" i="10" s="1"/>
  <c r="M50" i="10"/>
  <c r="J50" i="10"/>
  <c r="I50" i="10"/>
  <c r="M49" i="10"/>
  <c r="J49" i="10"/>
  <c r="I49" i="10"/>
  <c r="M48" i="10"/>
  <c r="J48" i="10"/>
  <c r="I48" i="10"/>
  <c r="M47" i="10"/>
  <c r="J47" i="10"/>
  <c r="I47" i="10"/>
  <c r="M46" i="10"/>
  <c r="J46" i="10"/>
  <c r="I46" i="10"/>
  <c r="M45" i="10"/>
  <c r="J45" i="10"/>
  <c r="I45" i="10"/>
  <c r="M44" i="10"/>
  <c r="J44" i="10"/>
  <c r="I44" i="10"/>
  <c r="M43" i="10"/>
  <c r="J43" i="10"/>
  <c r="I43" i="10"/>
  <c r="M42" i="10"/>
  <c r="J42" i="10"/>
  <c r="I42" i="10"/>
  <c r="M41" i="10"/>
  <c r="M40" i="10"/>
  <c r="E40" i="10"/>
  <c r="J41" i="10" s="1"/>
  <c r="F41" i="10" s="1"/>
  <c r="M39" i="10"/>
  <c r="E39" i="10"/>
  <c r="J39" i="10" s="1"/>
  <c r="F39" i="10" s="1"/>
  <c r="M38" i="10"/>
  <c r="J38" i="10"/>
  <c r="F38" i="10" s="1"/>
  <c r="M37" i="10"/>
  <c r="M36" i="10"/>
  <c r="K36" i="10"/>
  <c r="E36" i="10"/>
  <c r="M35" i="10"/>
  <c r="E35" i="10"/>
  <c r="M34" i="10"/>
  <c r="E34" i="10"/>
  <c r="M33" i="10"/>
  <c r="E33" i="10"/>
  <c r="M32" i="10"/>
  <c r="E32" i="10"/>
  <c r="J32" i="10" s="1"/>
  <c r="F32" i="10" s="1"/>
  <c r="L32" i="10" s="1"/>
  <c r="M31" i="10"/>
  <c r="J31" i="10"/>
  <c r="F31" i="10" s="1"/>
  <c r="L31" i="10" s="1"/>
  <c r="M30" i="10"/>
  <c r="F30" i="10"/>
  <c r="L30" i="10" s="1"/>
  <c r="J29" i="10"/>
  <c r="F29" i="10" s="1"/>
  <c r="L29" i="10" s="1"/>
  <c r="C29" i="10"/>
  <c r="M29" i="10" s="1"/>
  <c r="M28" i="10"/>
  <c r="F28" i="10"/>
  <c r="L28" i="10" s="1"/>
  <c r="M27" i="10"/>
  <c r="F27" i="10"/>
  <c r="L27" i="10" s="1"/>
  <c r="J26" i="10"/>
  <c r="F26" i="10" s="1"/>
  <c r="L26" i="10" s="1"/>
  <c r="C26" i="10"/>
  <c r="M26" i="10" s="1"/>
  <c r="J25" i="10"/>
  <c r="F25" i="10" s="1"/>
  <c r="L25" i="10" s="1"/>
  <c r="C25" i="10"/>
  <c r="M25" i="10" s="1"/>
  <c r="J24" i="10"/>
  <c r="F24" i="10" s="1"/>
  <c r="L24" i="10" s="1"/>
  <c r="C24" i="10"/>
  <c r="M24" i="10" s="1"/>
  <c r="J23" i="10"/>
  <c r="F23" i="10" s="1"/>
  <c r="L23" i="10" s="1"/>
  <c r="C23" i="10"/>
  <c r="M23" i="10" s="1"/>
  <c r="J22" i="10"/>
  <c r="F22" i="10" s="1"/>
  <c r="L22" i="10" s="1"/>
  <c r="C22" i="10"/>
  <c r="M22" i="10" s="1"/>
  <c r="F21" i="10"/>
  <c r="L21" i="10" s="1"/>
  <c r="C21" i="10"/>
  <c r="M21" i="10" s="1"/>
  <c r="F20" i="10"/>
  <c r="L20" i="10" s="1"/>
  <c r="C20" i="10"/>
  <c r="M20" i="10" s="1"/>
  <c r="F19" i="10"/>
  <c r="L19" i="10" s="1"/>
  <c r="C19" i="10"/>
  <c r="M19" i="10" s="1"/>
  <c r="F18" i="10"/>
  <c r="L18" i="10" s="1"/>
  <c r="C18" i="10"/>
  <c r="M18" i="10" s="1"/>
  <c r="F17" i="10"/>
  <c r="L17" i="10" s="1"/>
  <c r="C17" i="10"/>
  <c r="M17" i="10" s="1"/>
  <c r="F16" i="10"/>
  <c r="L16" i="10" s="1"/>
  <c r="C16" i="10"/>
  <c r="M16" i="10" s="1"/>
  <c r="F15" i="10"/>
  <c r="L15" i="10" s="1"/>
  <c r="C15" i="10"/>
  <c r="M15" i="10" s="1"/>
  <c r="F14" i="10"/>
  <c r="L14" i="10" s="1"/>
  <c r="C14" i="10"/>
  <c r="M14" i="10" s="1"/>
  <c r="F13" i="10"/>
  <c r="L13" i="10" s="1"/>
  <c r="C13" i="10"/>
  <c r="M13" i="10" s="1"/>
  <c r="F12" i="10"/>
  <c r="L12" i="10" s="1"/>
  <c r="C12" i="10"/>
  <c r="M12" i="10" s="1"/>
  <c r="F11" i="10"/>
  <c r="L11" i="10" s="1"/>
  <c r="C11" i="10"/>
  <c r="M11" i="10" s="1"/>
  <c r="F10" i="10"/>
  <c r="L10" i="10" s="1"/>
  <c r="C10" i="10"/>
  <c r="M10" i="10" s="1"/>
  <c r="F9" i="10"/>
  <c r="L9" i="10" s="1"/>
  <c r="C9" i="10"/>
  <c r="M9" i="10" s="1"/>
  <c r="F8" i="10"/>
  <c r="L8" i="10" s="1"/>
  <c r="C8" i="10"/>
  <c r="M8" i="10" s="1"/>
  <c r="F7" i="10"/>
  <c r="L7" i="10" s="1"/>
  <c r="C7" i="10"/>
  <c r="M7" i="10" s="1"/>
  <c r="F6" i="10"/>
  <c r="L6" i="10" s="1"/>
  <c r="C6" i="10"/>
  <c r="M6" i="10" s="1"/>
  <c r="F5" i="10"/>
  <c r="L5" i="10" s="1"/>
  <c r="C5" i="10"/>
  <c r="M5" i="10" s="1"/>
  <c r="F4" i="10"/>
  <c r="L4" i="10" s="1"/>
  <c r="C4" i="10"/>
  <c r="M4" i="10" s="1"/>
  <c r="F3" i="10"/>
  <c r="L3" i="10" s="1"/>
  <c r="C3" i="10"/>
  <c r="M3" i="10" s="1"/>
  <c r="K44" i="8"/>
  <c r="J44" i="8"/>
  <c r="I44" i="8"/>
  <c r="H44" i="8"/>
  <c r="G44" i="8"/>
  <c r="F44" i="8"/>
  <c r="E44" i="8"/>
  <c r="D44" i="8"/>
  <c r="C44" i="8"/>
  <c r="O43" i="8"/>
  <c r="O41" i="8"/>
  <c r="L40" i="8"/>
  <c r="L42" i="8" s="1"/>
  <c r="K42" i="8"/>
  <c r="J40" i="8"/>
  <c r="J42" i="8" s="1"/>
  <c r="I40" i="8"/>
  <c r="I42" i="8" s="1"/>
  <c r="H40" i="8"/>
  <c r="H42" i="8" s="1"/>
  <c r="G40" i="8"/>
  <c r="G42" i="8" s="1"/>
  <c r="F40" i="8"/>
  <c r="F42" i="8" s="1"/>
  <c r="E40" i="8"/>
  <c r="E42" i="8" s="1"/>
  <c r="D40" i="8"/>
  <c r="D42" i="8" s="1"/>
  <c r="C40" i="8"/>
  <c r="N66" i="8"/>
  <c r="M66" i="8"/>
  <c r="L66" i="8"/>
  <c r="K66" i="8"/>
  <c r="J66" i="8"/>
  <c r="I66" i="8"/>
  <c r="H66" i="8"/>
  <c r="G66" i="8"/>
  <c r="F66" i="8"/>
  <c r="E66" i="8"/>
  <c r="D66" i="8"/>
  <c r="C66" i="8"/>
  <c r="O65" i="8"/>
  <c r="O63" i="8"/>
  <c r="N62" i="8"/>
  <c r="N64" i="8" s="1"/>
  <c r="M62" i="8"/>
  <c r="M64" i="8" s="1"/>
  <c r="L62" i="8"/>
  <c r="L64" i="8" s="1"/>
  <c r="K62" i="8"/>
  <c r="K64" i="8" s="1"/>
  <c r="J62" i="8"/>
  <c r="J64" i="8" s="1"/>
  <c r="I62" i="8"/>
  <c r="I64" i="8" s="1"/>
  <c r="H62" i="8"/>
  <c r="H64" i="8" s="1"/>
  <c r="G62" i="8"/>
  <c r="G64" i="8" s="1"/>
  <c r="F62" i="8"/>
  <c r="F64" i="8" s="1"/>
  <c r="E62" i="8"/>
  <c r="E64" i="8" s="1"/>
  <c r="D62" i="8"/>
  <c r="D64" i="8" s="1"/>
  <c r="C62" i="8"/>
  <c r="C64" i="8" s="1"/>
  <c r="O61" i="8"/>
  <c r="O60" i="8"/>
  <c r="O59" i="8"/>
  <c r="O58" i="8"/>
  <c r="O57" i="8"/>
  <c r="O56" i="8"/>
  <c r="O55" i="8"/>
  <c r="O54" i="8"/>
  <c r="O53" i="8"/>
  <c r="O52" i="8"/>
  <c r="O51" i="8"/>
  <c r="O50" i="8"/>
  <c r="O49" i="8"/>
  <c r="O48" i="8"/>
  <c r="O47" i="8"/>
  <c r="N88" i="8"/>
  <c r="M88" i="8"/>
  <c r="L88" i="8"/>
  <c r="K88" i="8"/>
  <c r="J88" i="8"/>
  <c r="I88" i="8"/>
  <c r="H88" i="8"/>
  <c r="G88" i="8"/>
  <c r="F88" i="8"/>
  <c r="E88" i="8"/>
  <c r="D88" i="8"/>
  <c r="C88" i="8"/>
  <c r="O87" i="8"/>
  <c r="O85" i="8"/>
  <c r="N84" i="8"/>
  <c r="N86" i="8" s="1"/>
  <c r="M84" i="8"/>
  <c r="M86" i="8" s="1"/>
  <c r="L84" i="8"/>
  <c r="L86" i="8" s="1"/>
  <c r="K84" i="8"/>
  <c r="K86" i="8" s="1"/>
  <c r="J84" i="8"/>
  <c r="J86" i="8" s="1"/>
  <c r="I84" i="8"/>
  <c r="I86" i="8" s="1"/>
  <c r="H84" i="8"/>
  <c r="H86" i="8" s="1"/>
  <c r="G84" i="8"/>
  <c r="G86" i="8" s="1"/>
  <c r="F84" i="8"/>
  <c r="F86" i="8" s="1"/>
  <c r="E84" i="8"/>
  <c r="E86" i="8" s="1"/>
  <c r="D84" i="8"/>
  <c r="D86" i="8" s="1"/>
  <c r="C84" i="8"/>
  <c r="C86" i="8" s="1"/>
  <c r="O83" i="8"/>
  <c r="O82" i="8"/>
  <c r="O81" i="8"/>
  <c r="O80" i="8"/>
  <c r="O79" i="8"/>
  <c r="O78" i="8"/>
  <c r="O77" i="8"/>
  <c r="O76" i="8"/>
  <c r="O75" i="8"/>
  <c r="O74" i="8"/>
  <c r="O73" i="8"/>
  <c r="O72" i="8"/>
  <c r="O71" i="8"/>
  <c r="O70" i="8"/>
  <c r="O69" i="8"/>
  <c r="N110" i="8"/>
  <c r="M110" i="8"/>
  <c r="L110" i="8"/>
  <c r="K110" i="8"/>
  <c r="J110" i="8"/>
  <c r="I110" i="8"/>
  <c r="H110" i="8"/>
  <c r="G110" i="8"/>
  <c r="F110" i="8"/>
  <c r="E110" i="8"/>
  <c r="D110" i="8"/>
  <c r="C110" i="8"/>
  <c r="O109" i="8"/>
  <c r="O107" i="8"/>
  <c r="N106" i="8"/>
  <c r="N108" i="8" s="1"/>
  <c r="M106" i="8"/>
  <c r="M108" i="8" s="1"/>
  <c r="L106" i="8"/>
  <c r="L108" i="8" s="1"/>
  <c r="K106" i="8"/>
  <c r="K108" i="8" s="1"/>
  <c r="J106" i="8"/>
  <c r="J108" i="8" s="1"/>
  <c r="I106" i="8"/>
  <c r="I108" i="8" s="1"/>
  <c r="H106" i="8"/>
  <c r="H108" i="8" s="1"/>
  <c r="G106" i="8"/>
  <c r="G108" i="8" s="1"/>
  <c r="F106" i="8"/>
  <c r="F108" i="8" s="1"/>
  <c r="E106" i="8"/>
  <c r="E108" i="8" s="1"/>
  <c r="D106" i="8"/>
  <c r="D108" i="8" s="1"/>
  <c r="C106" i="8"/>
  <c r="C108" i="8" s="1"/>
  <c r="O105" i="8"/>
  <c r="O104" i="8"/>
  <c r="O103" i="8"/>
  <c r="O102" i="8"/>
  <c r="O101" i="8"/>
  <c r="O100" i="8"/>
  <c r="O99" i="8"/>
  <c r="O98" i="8"/>
  <c r="O97" i="8"/>
  <c r="O96" i="8"/>
  <c r="O95" i="8"/>
  <c r="O94" i="8"/>
  <c r="O93" i="8"/>
  <c r="O92" i="8"/>
  <c r="O91" i="8"/>
  <c r="L80" i="9"/>
  <c r="K80" i="9"/>
  <c r="J80" i="9"/>
  <c r="I80" i="9"/>
  <c r="H80" i="9"/>
  <c r="G80" i="9"/>
  <c r="F80" i="9"/>
  <c r="E80" i="9"/>
  <c r="D80" i="9"/>
  <c r="C80" i="9"/>
  <c r="L79" i="9"/>
  <c r="K79" i="9"/>
  <c r="J79" i="9"/>
  <c r="I79" i="9"/>
  <c r="H79" i="9"/>
  <c r="G79" i="9"/>
  <c r="F79" i="9"/>
  <c r="C79" i="9"/>
  <c r="E79" i="9"/>
  <c r="D79" i="9"/>
  <c r="O76" i="9"/>
  <c r="O75" i="9"/>
  <c r="O74" i="9"/>
  <c r="N88" i="9"/>
  <c r="O87" i="9"/>
  <c r="O86" i="9"/>
  <c r="L69" i="9"/>
  <c r="K69" i="9"/>
  <c r="J69" i="9"/>
  <c r="I69" i="9"/>
  <c r="H69" i="9"/>
  <c r="G69" i="9"/>
  <c r="F69" i="9"/>
  <c r="E69" i="9"/>
  <c r="D69" i="9"/>
  <c r="C69" i="9"/>
  <c r="N68" i="9"/>
  <c r="M68" i="9"/>
  <c r="L68" i="9"/>
  <c r="K68" i="9"/>
  <c r="J68" i="9"/>
  <c r="I68" i="9"/>
  <c r="H68" i="9"/>
  <c r="G68" i="9"/>
  <c r="F68" i="9"/>
  <c r="E68" i="9"/>
  <c r="D68" i="9"/>
  <c r="C68" i="9"/>
  <c r="N67" i="9"/>
  <c r="I67" i="9"/>
  <c r="H67" i="9"/>
  <c r="G67" i="9"/>
  <c r="F67" i="9"/>
  <c r="E67" i="9"/>
  <c r="D67" i="9"/>
  <c r="C67" i="9"/>
  <c r="N66" i="9"/>
  <c r="M66" i="9"/>
  <c r="L66" i="9"/>
  <c r="K66" i="9"/>
  <c r="J66" i="9"/>
  <c r="I66" i="9"/>
  <c r="H66" i="9"/>
  <c r="G66" i="9"/>
  <c r="F66" i="9"/>
  <c r="E66" i="9"/>
  <c r="D66" i="9"/>
  <c r="C66" i="9"/>
  <c r="N65" i="9"/>
  <c r="M65" i="9"/>
  <c r="L65" i="9"/>
  <c r="K65" i="9"/>
  <c r="J65" i="9"/>
  <c r="I65" i="9"/>
  <c r="H65" i="9"/>
  <c r="G65" i="9"/>
  <c r="F65" i="9"/>
  <c r="E65" i="9"/>
  <c r="D65" i="9"/>
  <c r="C65" i="9"/>
  <c r="L59" i="9"/>
  <c r="K59" i="9"/>
  <c r="J59" i="9"/>
  <c r="I59" i="9"/>
  <c r="H59" i="9"/>
  <c r="G59" i="9"/>
  <c r="F59" i="9"/>
  <c r="E59" i="9"/>
  <c r="D59" i="9"/>
  <c r="C59" i="9"/>
  <c r="L58" i="9"/>
  <c r="K58" i="9"/>
  <c r="J58" i="9"/>
  <c r="I58" i="9"/>
  <c r="H58" i="9"/>
  <c r="G58" i="9"/>
  <c r="F58" i="9"/>
  <c r="E58" i="9"/>
  <c r="D58" i="9"/>
  <c r="C58" i="9"/>
  <c r="O54" i="9"/>
  <c r="O53" i="9"/>
  <c r="L47" i="9"/>
  <c r="K47" i="9"/>
  <c r="J47" i="9"/>
  <c r="I47" i="9"/>
  <c r="H47" i="9"/>
  <c r="F47" i="9"/>
  <c r="E47" i="9"/>
  <c r="D47" i="9"/>
  <c r="C47" i="9"/>
  <c r="L46" i="9"/>
  <c r="K46" i="9"/>
  <c r="J46" i="9"/>
  <c r="I46" i="9"/>
  <c r="H46" i="9"/>
  <c r="G46" i="9"/>
  <c r="F46" i="9"/>
  <c r="E46" i="9"/>
  <c r="D46" i="9"/>
  <c r="C46" i="9"/>
  <c r="O68" i="9"/>
  <c r="O67" i="9"/>
  <c r="O42" i="9"/>
  <c r="O41" i="9"/>
  <c r="O40" i="9"/>
  <c r="O39" i="9"/>
  <c r="L34" i="9"/>
  <c r="K34" i="9"/>
  <c r="J34" i="9"/>
  <c r="I34" i="9"/>
  <c r="H34" i="9"/>
  <c r="G34" i="9"/>
  <c r="F34" i="9"/>
  <c r="E34" i="9"/>
  <c r="D34" i="9"/>
  <c r="C34" i="9"/>
  <c r="O33" i="9"/>
  <c r="N33" i="9"/>
  <c r="M33" i="9"/>
  <c r="L33" i="9"/>
  <c r="K33" i="9"/>
  <c r="J33" i="9"/>
  <c r="I33" i="9"/>
  <c r="H33" i="9"/>
  <c r="G33" i="9"/>
  <c r="F33" i="9"/>
  <c r="E33" i="9"/>
  <c r="D33" i="9"/>
  <c r="C33" i="9"/>
  <c r="O32" i="9"/>
  <c r="N32" i="9"/>
  <c r="I32" i="9"/>
  <c r="H32" i="9"/>
  <c r="G32" i="9"/>
  <c r="F32" i="9"/>
  <c r="E32" i="9"/>
  <c r="D32" i="9"/>
  <c r="C32" i="9"/>
  <c r="N31" i="9"/>
  <c r="M31" i="9"/>
  <c r="L31" i="9"/>
  <c r="K31" i="9"/>
  <c r="J31" i="9"/>
  <c r="I31" i="9"/>
  <c r="H31" i="9"/>
  <c r="G31" i="9"/>
  <c r="D31" i="9"/>
  <c r="C31" i="9"/>
  <c r="N30" i="9"/>
  <c r="M30" i="9"/>
  <c r="L30" i="9"/>
  <c r="K30" i="9"/>
  <c r="J30" i="9"/>
  <c r="I30" i="9"/>
  <c r="H30" i="9"/>
  <c r="G30" i="9"/>
  <c r="F30" i="9"/>
  <c r="E30" i="9"/>
  <c r="D30" i="9"/>
  <c r="C30" i="9"/>
  <c r="L24" i="9"/>
  <c r="K24" i="9"/>
  <c r="J24" i="9"/>
  <c r="I24" i="9"/>
  <c r="H24" i="9"/>
  <c r="G24" i="9"/>
  <c r="F24" i="9"/>
  <c r="E24" i="9"/>
  <c r="D24" i="9"/>
  <c r="C24" i="9"/>
  <c r="L23" i="9"/>
  <c r="K23" i="9"/>
  <c r="J23" i="9"/>
  <c r="I23" i="9"/>
  <c r="H23" i="9"/>
  <c r="G23" i="9"/>
  <c r="F23" i="9"/>
  <c r="E23" i="9"/>
  <c r="D23" i="9"/>
  <c r="C23" i="9"/>
  <c r="O19" i="9"/>
  <c r="O18" i="9"/>
  <c r="L12" i="9"/>
  <c r="K12" i="9"/>
  <c r="J12" i="9"/>
  <c r="I12" i="9"/>
  <c r="H12" i="9"/>
  <c r="G12" i="9"/>
  <c r="F12" i="9"/>
  <c r="E12" i="9"/>
  <c r="D12" i="9"/>
  <c r="C12" i="9"/>
  <c r="L11" i="9"/>
  <c r="K11" i="9"/>
  <c r="J11" i="9"/>
  <c r="I11" i="9"/>
  <c r="H11" i="9"/>
  <c r="G11" i="9"/>
  <c r="F11" i="9"/>
  <c r="E11" i="9"/>
  <c r="D11" i="9"/>
  <c r="C11" i="9"/>
  <c r="O7" i="9"/>
  <c r="O6" i="9"/>
  <c r="O5" i="9"/>
  <c r="O4" i="9"/>
  <c r="L53" i="7"/>
  <c r="K53" i="7"/>
  <c r="J53" i="7"/>
  <c r="I53" i="7"/>
  <c r="H53" i="7"/>
  <c r="G53" i="7"/>
  <c r="F53" i="7"/>
  <c r="E53" i="7"/>
  <c r="D53" i="7"/>
  <c r="C53" i="7"/>
  <c r="N52" i="7"/>
  <c r="M52" i="7"/>
  <c r="L52" i="7"/>
  <c r="K52" i="7"/>
  <c r="J52" i="7"/>
  <c r="I52" i="7"/>
  <c r="H52" i="7"/>
  <c r="G52" i="7"/>
  <c r="F52" i="7"/>
  <c r="E52" i="7"/>
  <c r="C52" i="7"/>
  <c r="N51" i="7"/>
  <c r="J51" i="7"/>
  <c r="I51" i="7"/>
  <c r="H51" i="7"/>
  <c r="G51" i="7"/>
  <c r="F51" i="7"/>
  <c r="C51" i="7"/>
  <c r="N50" i="7"/>
  <c r="M50" i="7"/>
  <c r="L50" i="7"/>
  <c r="K50" i="7"/>
  <c r="J50" i="7"/>
  <c r="I50" i="7"/>
  <c r="H50" i="7"/>
  <c r="G50" i="7"/>
  <c r="F50" i="7"/>
  <c r="E50" i="7"/>
  <c r="D50" i="7"/>
  <c r="C50" i="7"/>
  <c r="N49" i="7"/>
  <c r="M49" i="7"/>
  <c r="L49" i="7"/>
  <c r="K49" i="7"/>
  <c r="J49" i="7"/>
  <c r="I49" i="7"/>
  <c r="H49" i="7"/>
  <c r="G49" i="7"/>
  <c r="F49" i="7"/>
  <c r="E49" i="7"/>
  <c r="D49" i="7"/>
  <c r="C49" i="7"/>
  <c r="N48" i="7"/>
  <c r="M48" i="7"/>
  <c r="L48" i="7"/>
  <c r="K48" i="7"/>
  <c r="J48" i="7"/>
  <c r="I48" i="7"/>
  <c r="H48" i="7"/>
  <c r="G48" i="7"/>
  <c r="F48" i="7"/>
  <c r="E48" i="7"/>
  <c r="D48" i="7"/>
  <c r="C48" i="7"/>
  <c r="N47" i="7"/>
  <c r="M47" i="7"/>
  <c r="L47" i="7"/>
  <c r="K47" i="7"/>
  <c r="J47" i="7"/>
  <c r="I47" i="7"/>
  <c r="H47" i="7"/>
  <c r="G47" i="7"/>
  <c r="F47" i="7"/>
  <c r="E47" i="7"/>
  <c r="D47" i="7"/>
  <c r="C47" i="7"/>
  <c r="N46" i="7"/>
  <c r="M46" i="7"/>
  <c r="L46" i="7"/>
  <c r="K46" i="7"/>
  <c r="J46" i="7"/>
  <c r="I46" i="7"/>
  <c r="H46" i="7"/>
  <c r="G46" i="7"/>
  <c r="F46" i="7"/>
  <c r="E46" i="7"/>
  <c r="D46" i="7"/>
  <c r="C46" i="7"/>
  <c r="L40" i="7"/>
  <c r="K40" i="7"/>
  <c r="J40" i="7"/>
  <c r="I40" i="7"/>
  <c r="H40" i="7"/>
  <c r="G40" i="7"/>
  <c r="F40" i="7"/>
  <c r="E40" i="7"/>
  <c r="D40" i="7"/>
  <c r="C40" i="7"/>
  <c r="L39" i="7"/>
  <c r="K39" i="7"/>
  <c r="J39" i="7"/>
  <c r="I39" i="7"/>
  <c r="H39" i="7"/>
  <c r="G39" i="7"/>
  <c r="F39" i="7"/>
  <c r="E39" i="7"/>
  <c r="D39" i="7"/>
  <c r="C39" i="7"/>
  <c r="L25" i="7"/>
  <c r="K25" i="7"/>
  <c r="J25" i="7"/>
  <c r="I25" i="7"/>
  <c r="H25" i="7"/>
  <c r="G25" i="7"/>
  <c r="F25" i="7"/>
  <c r="E25" i="7"/>
  <c r="D25" i="7"/>
  <c r="C25" i="7"/>
  <c r="L24" i="7"/>
  <c r="K24" i="7"/>
  <c r="J24" i="7"/>
  <c r="I24" i="7"/>
  <c r="H24" i="7"/>
  <c r="G24" i="7"/>
  <c r="F24" i="7"/>
  <c r="E24" i="7"/>
  <c r="C24" i="7"/>
  <c r="D22" i="7"/>
  <c r="O17" i="7"/>
  <c r="M12" i="7"/>
  <c r="L12" i="7"/>
  <c r="K12" i="7"/>
  <c r="J12" i="7"/>
  <c r="I12" i="7"/>
  <c r="H12" i="7"/>
  <c r="G12" i="7"/>
  <c r="F12" i="7"/>
  <c r="E12" i="7"/>
  <c r="D12" i="7"/>
  <c r="C12" i="7"/>
  <c r="M11" i="7"/>
  <c r="L11" i="7"/>
  <c r="J11" i="7"/>
  <c r="I11" i="7"/>
  <c r="H11" i="7"/>
  <c r="G11" i="7"/>
  <c r="F11" i="7"/>
  <c r="E11" i="7"/>
  <c r="D11" i="7"/>
  <c r="M9" i="7"/>
  <c r="L9" i="7"/>
  <c r="J9" i="7"/>
  <c r="I9" i="7"/>
  <c r="H9" i="7"/>
  <c r="G9" i="7"/>
  <c r="F9" i="7"/>
  <c r="E9" i="7"/>
  <c r="D9" i="7"/>
  <c r="M7" i="7"/>
  <c r="L7" i="7"/>
  <c r="K7" i="7"/>
  <c r="J7" i="7"/>
  <c r="I7" i="7"/>
  <c r="H7" i="7"/>
  <c r="G7" i="7"/>
  <c r="F7" i="7"/>
  <c r="E7" i="7"/>
  <c r="D7" i="7"/>
  <c r="J6" i="7"/>
  <c r="I6" i="7"/>
  <c r="H6" i="7"/>
  <c r="G6" i="7"/>
  <c r="F6" i="7"/>
  <c r="E6" i="7"/>
  <c r="D6" i="7"/>
  <c r="M4" i="7"/>
  <c r="L4" i="7"/>
  <c r="J4" i="7"/>
  <c r="I4" i="7"/>
  <c r="H4" i="7"/>
  <c r="G4" i="7"/>
  <c r="F4" i="7"/>
  <c r="E4" i="7"/>
  <c r="D4" i="7"/>
  <c r="O72" i="24" l="1"/>
  <c r="D67" i="24"/>
  <c r="O64" i="24"/>
  <c r="O63" i="24"/>
  <c r="O110" i="8"/>
  <c r="O40" i="8"/>
  <c r="O42" i="8" s="1"/>
  <c r="F43" i="10"/>
  <c r="J33" i="10"/>
  <c r="F33" i="10" s="1"/>
  <c r="L33" i="10" s="1"/>
  <c r="K53" i="10"/>
  <c r="K54" i="10" s="1"/>
  <c r="K55" i="10" s="1"/>
  <c r="K56" i="10" s="1"/>
  <c r="F49" i="10"/>
  <c r="J34" i="10"/>
  <c r="F34" i="10" s="1"/>
  <c r="L34" i="10" s="1"/>
  <c r="F56" i="10"/>
  <c r="J35" i="10"/>
  <c r="F35" i="10" s="1"/>
  <c r="L35" i="10" s="1"/>
  <c r="F45" i="10"/>
  <c r="G45" i="10" s="1"/>
  <c r="F50" i="10"/>
  <c r="G62" i="10" s="1"/>
  <c r="F51" i="10"/>
  <c r="F44" i="10"/>
  <c r="F47" i="10"/>
  <c r="G59" i="10" s="1"/>
  <c r="J36" i="10"/>
  <c r="F36" i="10" s="1"/>
  <c r="F42" i="10"/>
  <c r="L42" i="10" s="1"/>
  <c r="L41" i="10"/>
  <c r="G41" i="10"/>
  <c r="L38" i="10"/>
  <c r="G38" i="10"/>
  <c r="L39" i="10"/>
  <c r="G39" i="10"/>
  <c r="H39" i="10"/>
  <c r="J37" i="10"/>
  <c r="F37" i="10" s="1"/>
  <c r="G49" i="10" s="1"/>
  <c r="M52" i="10"/>
  <c r="F57" i="10"/>
  <c r="I52" i="10"/>
  <c r="F52" i="10" s="1"/>
  <c r="F48" i="10"/>
  <c r="J40" i="10"/>
  <c r="F40" i="10" s="1"/>
  <c r="H41" i="10" s="1"/>
  <c r="I53" i="10"/>
  <c r="F53" i="10" s="1"/>
  <c r="G65" i="10" s="1"/>
  <c r="F55" i="10"/>
  <c r="F54" i="10"/>
  <c r="F46" i="10"/>
  <c r="H42" i="10"/>
  <c r="G42" i="10"/>
  <c r="O44" i="8"/>
  <c r="O65" i="9"/>
  <c r="O66" i="9"/>
  <c r="O30" i="9"/>
  <c r="O31" i="9"/>
  <c r="O48" i="7"/>
  <c r="O46" i="7"/>
  <c r="D24" i="7"/>
  <c r="O50" i="7"/>
  <c r="O49" i="7"/>
  <c r="O47" i="7"/>
  <c r="D52" i="7"/>
  <c r="O51" i="7"/>
  <c r="O66" i="8"/>
  <c r="O106" i="8"/>
  <c r="O108" i="8" s="1"/>
  <c r="O88" i="8"/>
  <c r="O84" i="8"/>
  <c r="O86" i="8" s="1"/>
  <c r="C42" i="8"/>
  <c r="O62" i="8"/>
  <c r="O64" i="8" s="1"/>
  <c r="L51" i="10" l="1"/>
  <c r="G63" i="10"/>
  <c r="L52" i="10"/>
  <c r="G64" i="10"/>
  <c r="H54" i="10"/>
  <c r="G66" i="10"/>
  <c r="H44" i="10"/>
  <c r="H57" i="10"/>
  <c r="H58" i="10"/>
  <c r="L56" i="10"/>
  <c r="G56" i="10"/>
  <c r="L48" i="10"/>
  <c r="G60" i="10"/>
  <c r="H51" i="10"/>
  <c r="G44" i="10"/>
  <c r="G51" i="10"/>
  <c r="L49" i="10"/>
  <c r="G61" i="10"/>
  <c r="L46" i="10"/>
  <c r="G58" i="10"/>
  <c r="K57" i="10"/>
  <c r="L57" i="10" s="1"/>
  <c r="G55" i="10"/>
  <c r="H36" i="10"/>
  <c r="G50" i="10"/>
  <c r="H45" i="10"/>
  <c r="L45" i="10"/>
  <c r="H50" i="10"/>
  <c r="H52" i="10"/>
  <c r="H47" i="10"/>
  <c r="L50" i="10"/>
  <c r="H56" i="10"/>
  <c r="L54" i="10"/>
  <c r="L47" i="10"/>
  <c r="L36" i="10"/>
  <c r="G36" i="10"/>
  <c r="L44" i="10"/>
  <c r="G48" i="10"/>
  <c r="G47" i="10"/>
  <c r="G54" i="10"/>
  <c r="H55" i="10"/>
  <c r="L55" i="10"/>
  <c r="H49" i="10"/>
  <c r="H46" i="10"/>
  <c r="H48" i="10"/>
  <c r="G53" i="10"/>
  <c r="H53" i="10"/>
  <c r="L53" i="10"/>
  <c r="G43" i="10"/>
  <c r="H43" i="10"/>
  <c r="L43" i="10"/>
  <c r="G52" i="10"/>
  <c r="L37" i="10"/>
  <c r="H37" i="10"/>
  <c r="G37" i="10"/>
  <c r="G57" i="10"/>
  <c r="G46" i="10"/>
  <c r="H38" i="10"/>
  <c r="G40" i="10"/>
  <c r="H40" i="10"/>
  <c r="L40" i="10"/>
  <c r="O52" i="7"/>
  <c r="K58" i="10" l="1"/>
  <c r="L58" i="10" l="1"/>
  <c r="K59" i="10"/>
  <c r="L59" i="10" s="1"/>
  <c r="K60" i="10" l="1"/>
  <c r="L60" i="10" s="1"/>
  <c r="K61" i="10" l="1"/>
  <c r="L61" i="10" s="1"/>
  <c r="K62" i="10" l="1"/>
  <c r="L6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heng</author>
    <author>Gaga</author>
    <author>Yongkun Wu</author>
  </authors>
  <commentList>
    <comment ref="L53" authorId="0" shapeId="0" xr:uid="{00000000-0006-0000-0D00-000004000000}">
      <text>
        <r>
          <rPr>
            <sz val="9"/>
            <rFont val="宋体"/>
            <family val="3"/>
            <charset val="134"/>
          </rPr>
          <t>（乘联会预估）</t>
        </r>
      </text>
    </comment>
    <comment ref="L86" authorId="1" shapeId="0" xr:uid="{00000000-0006-0000-0D00-000003000000}">
      <text>
        <r>
          <rPr>
            <b/>
            <sz val="9"/>
            <rFont val="宋体"/>
            <family val="3"/>
            <charset val="134"/>
          </rPr>
          <t>Gaga:</t>
        </r>
        <r>
          <rPr>
            <sz val="9"/>
            <rFont val="宋体"/>
            <family val="3"/>
            <charset val="134"/>
          </rPr>
          <t xml:space="preserve">
top17
</t>
        </r>
      </text>
    </comment>
    <comment ref="I99" authorId="2" shapeId="0" xr:uid="{00000000-0006-0000-0D00-000001000000}">
      <text>
        <r>
          <rPr>
            <sz val="9"/>
            <rFont val="宋体"/>
            <family val="3"/>
            <charset val="134"/>
          </rPr>
          <t>https://baijiahao.baidu.com/s?id=1740131440254430628&amp;wfr=spider&amp;for=pc</t>
        </r>
      </text>
    </comment>
    <comment ref="I105" authorId="2" shapeId="0" xr:uid="{00000000-0006-0000-0D00-000002000000}">
      <text>
        <r>
          <rPr>
            <sz val="9"/>
            <rFont val="宋体"/>
            <family val="3"/>
            <charset val="134"/>
          </rPr>
          <t>https://news.yiche.com/hao/wenzhang/70916137/</t>
        </r>
      </text>
    </comment>
  </commentList>
</comments>
</file>

<file path=xl/sharedStrings.xml><?xml version="1.0" encoding="utf-8"?>
<sst xmlns="http://schemas.openxmlformats.org/spreadsheetml/2006/main" count="994" uniqueCount="253">
  <si>
    <t>证券研究报告</t>
  </si>
  <si>
    <t>行业评级:</t>
  </si>
  <si>
    <t>增持</t>
  </si>
  <si>
    <t>010-83939805</t>
  </si>
  <si>
    <t>xuqiang@gtht.com</t>
  </si>
  <si>
    <t>S0880517040002</t>
  </si>
  <si>
    <t>0755-23976610</t>
  </si>
  <si>
    <t>moujunyu@gtht.com</t>
  </si>
  <si>
    <t>S0880521080003</t>
  </si>
  <si>
    <t>目录</t>
  </si>
  <si>
    <t>数据来源</t>
  </si>
  <si>
    <t>中国新能源汽车销量</t>
  </si>
  <si>
    <t>中汽协</t>
  </si>
  <si>
    <t>乘联会</t>
  </si>
  <si>
    <t>充电桩</t>
  </si>
  <si>
    <t>中国充电联盟</t>
  </si>
  <si>
    <t>风险提示</t>
  </si>
  <si>
    <t>第三方数据更新不及时、口径不同数据存在差异等</t>
  </si>
  <si>
    <t>★ 请务必阅读最末页的重要声明</t>
  </si>
  <si>
    <t>YOY</t>
  </si>
  <si>
    <t>AION</t>
  </si>
  <si>
    <t>top15</t>
  </si>
  <si>
    <t>top14</t>
  </si>
  <si>
    <t>Q1</t>
  </si>
  <si>
    <t>Q2</t>
  </si>
  <si>
    <t>Q3</t>
  </si>
  <si>
    <t>Q4</t>
  </si>
  <si>
    <t>MY</t>
  </si>
  <si>
    <t>M3</t>
  </si>
  <si>
    <r>
      <t>CleanTechnica</t>
    </r>
    <r>
      <rPr>
        <sz val="11"/>
        <color theme="4" tint="-0.249977111117893"/>
        <rFont val="等线"/>
        <family val="1"/>
        <charset val="134"/>
      </rPr>
      <t>、</t>
    </r>
    <r>
      <rPr>
        <sz val="11"/>
        <color theme="4" tint="-0.249977111117893"/>
        <rFont val="Times New Roman"/>
        <family val="1"/>
      </rPr>
      <t>OICA</t>
    </r>
    <phoneticPr fontId="17" type="noConversion"/>
  </si>
  <si>
    <t>PHEV</t>
    <phoneticPr fontId="17" type="noConversion"/>
  </si>
  <si>
    <r>
      <rPr>
        <b/>
        <sz val="9"/>
        <color theme="0"/>
        <rFont val="微软雅黑"/>
        <family val="2"/>
        <charset val="134"/>
      </rPr>
      <t>时间</t>
    </r>
  </si>
  <si>
    <r>
      <rPr>
        <b/>
        <sz val="9"/>
        <color theme="0"/>
        <rFont val="微软雅黑"/>
        <family val="2"/>
        <charset val="134"/>
      </rPr>
      <t>充电桩保有量</t>
    </r>
  </si>
  <si>
    <r>
      <rPr>
        <b/>
        <sz val="9"/>
        <color theme="0"/>
        <rFont val="微软雅黑"/>
        <family val="2"/>
        <charset val="134"/>
      </rPr>
      <t>充电桩新增量</t>
    </r>
  </si>
  <si>
    <r>
      <rPr>
        <b/>
        <sz val="9"/>
        <color theme="0"/>
        <rFont val="微软雅黑"/>
        <family val="2"/>
        <charset val="134"/>
      </rPr>
      <t>充电桩新增</t>
    </r>
    <r>
      <rPr>
        <b/>
        <sz val="9"/>
        <color theme="0"/>
        <rFont val="Arial"/>
        <family val="2"/>
      </rPr>
      <t>-</t>
    </r>
    <r>
      <rPr>
        <b/>
        <sz val="9"/>
        <color theme="0"/>
        <rFont val="微软雅黑"/>
        <family val="2"/>
        <charset val="134"/>
      </rPr>
      <t>公共</t>
    </r>
  </si>
  <si>
    <r>
      <rPr>
        <b/>
        <sz val="9"/>
        <color theme="0"/>
        <rFont val="微软雅黑"/>
        <family val="2"/>
        <charset val="134"/>
      </rPr>
      <t>充电桩新增</t>
    </r>
    <r>
      <rPr>
        <b/>
        <sz val="9"/>
        <color theme="0"/>
        <rFont val="Arial"/>
        <family val="2"/>
      </rPr>
      <t>-</t>
    </r>
    <r>
      <rPr>
        <b/>
        <sz val="9"/>
        <color theme="0"/>
        <rFont val="微软雅黑"/>
        <family val="2"/>
        <charset val="134"/>
      </rPr>
      <t>私人</t>
    </r>
  </si>
  <si>
    <r>
      <rPr>
        <b/>
        <sz val="9"/>
        <color theme="0"/>
        <rFont val="微软雅黑"/>
        <family val="2"/>
        <charset val="134"/>
      </rPr>
      <t>车增量</t>
    </r>
    <r>
      <rPr>
        <b/>
        <sz val="9"/>
        <color theme="0"/>
        <rFont val="Arial"/>
        <family val="2"/>
      </rPr>
      <t>/</t>
    </r>
    <r>
      <rPr>
        <b/>
        <sz val="9"/>
        <color theme="0"/>
        <rFont val="微软雅黑"/>
        <family val="2"/>
        <charset val="134"/>
      </rPr>
      <t>桩增量</t>
    </r>
  </si>
  <si>
    <r>
      <rPr>
        <b/>
        <sz val="9"/>
        <color theme="0"/>
        <rFont val="微软雅黑"/>
        <family val="2"/>
        <charset val="134"/>
      </rPr>
      <t>公共充电桩占比</t>
    </r>
  </si>
  <si>
    <r>
      <rPr>
        <b/>
        <sz val="9"/>
        <color theme="0"/>
        <rFont val="微软雅黑"/>
        <family val="2"/>
        <charset val="134"/>
      </rPr>
      <t>总计</t>
    </r>
  </si>
  <si>
    <r>
      <t>2018</t>
    </r>
    <r>
      <rPr>
        <sz val="9"/>
        <color theme="1"/>
        <rFont val="微软雅黑"/>
        <family val="2"/>
        <charset val="134"/>
      </rPr>
      <t>年</t>
    </r>
  </si>
  <si>
    <r>
      <t>2019</t>
    </r>
    <r>
      <rPr>
        <sz val="9"/>
        <color theme="1"/>
        <rFont val="微软雅黑"/>
        <family val="2"/>
        <charset val="134"/>
      </rPr>
      <t>年</t>
    </r>
  </si>
  <si>
    <r>
      <t>2020</t>
    </r>
    <r>
      <rPr>
        <sz val="9"/>
        <color theme="1"/>
        <rFont val="微软雅黑"/>
        <family val="2"/>
        <charset val="134"/>
      </rPr>
      <t>年</t>
    </r>
  </si>
  <si>
    <r>
      <t>2021</t>
    </r>
    <r>
      <rPr>
        <sz val="9"/>
        <color theme="1"/>
        <rFont val="微软雅黑"/>
        <family val="2"/>
        <charset val="134"/>
      </rPr>
      <t>年</t>
    </r>
  </si>
  <si>
    <r>
      <t>2022</t>
    </r>
    <r>
      <rPr>
        <sz val="9"/>
        <color theme="1"/>
        <rFont val="微软雅黑"/>
        <family val="2"/>
        <charset val="134"/>
      </rPr>
      <t>年</t>
    </r>
  </si>
  <si>
    <r>
      <t>2023</t>
    </r>
    <r>
      <rPr>
        <sz val="9"/>
        <color theme="1"/>
        <rFont val="微软雅黑"/>
        <family val="2"/>
        <charset val="134"/>
      </rPr>
      <t>年</t>
    </r>
  </si>
  <si>
    <r>
      <t>2024</t>
    </r>
    <r>
      <rPr>
        <sz val="9"/>
        <color theme="1"/>
        <rFont val="微软雅黑"/>
        <family val="2"/>
        <charset val="134"/>
      </rPr>
      <t>年</t>
    </r>
  </si>
  <si>
    <r>
      <t>2025</t>
    </r>
    <r>
      <rPr>
        <sz val="9"/>
        <color theme="1"/>
        <rFont val="微软雅黑"/>
        <family val="2"/>
        <charset val="134"/>
      </rPr>
      <t>年</t>
    </r>
  </si>
  <si>
    <r>
      <rPr>
        <sz val="9"/>
        <color theme="1"/>
        <rFont val="微软雅黑"/>
        <family val="2"/>
        <charset val="134"/>
      </rPr>
      <t>同比</t>
    </r>
    <phoneticPr fontId="17" type="noConversion"/>
  </si>
  <si>
    <r>
      <rPr>
        <sz val="9"/>
        <color theme="1"/>
        <rFont val="微软雅黑"/>
        <family val="2"/>
        <charset val="134"/>
      </rPr>
      <t>环比</t>
    </r>
  </si>
  <si>
    <r>
      <t>1</t>
    </r>
    <r>
      <rPr>
        <b/>
        <sz val="9"/>
        <color theme="0"/>
        <rFont val="微软雅黑"/>
        <family val="2"/>
        <charset val="134"/>
      </rPr>
      <t>月</t>
    </r>
  </si>
  <si>
    <r>
      <t>2</t>
    </r>
    <r>
      <rPr>
        <b/>
        <sz val="9"/>
        <color theme="0"/>
        <rFont val="微软雅黑"/>
        <family val="2"/>
        <charset val="134"/>
      </rPr>
      <t>月</t>
    </r>
  </si>
  <si>
    <r>
      <t>3</t>
    </r>
    <r>
      <rPr>
        <b/>
        <sz val="9"/>
        <color theme="0"/>
        <rFont val="微软雅黑"/>
        <family val="2"/>
        <charset val="134"/>
      </rPr>
      <t>月</t>
    </r>
  </si>
  <si>
    <r>
      <t>4</t>
    </r>
    <r>
      <rPr>
        <b/>
        <sz val="9"/>
        <color theme="0"/>
        <rFont val="微软雅黑"/>
        <family val="2"/>
        <charset val="134"/>
      </rPr>
      <t>月</t>
    </r>
  </si>
  <si>
    <r>
      <t>5</t>
    </r>
    <r>
      <rPr>
        <b/>
        <sz val="9"/>
        <color theme="0"/>
        <rFont val="微软雅黑"/>
        <family val="2"/>
        <charset val="134"/>
      </rPr>
      <t>月</t>
    </r>
  </si>
  <si>
    <r>
      <t>6</t>
    </r>
    <r>
      <rPr>
        <b/>
        <sz val="9"/>
        <color theme="0"/>
        <rFont val="微软雅黑"/>
        <family val="2"/>
        <charset val="134"/>
      </rPr>
      <t>月</t>
    </r>
  </si>
  <si>
    <r>
      <t>7</t>
    </r>
    <r>
      <rPr>
        <b/>
        <sz val="9"/>
        <color theme="0"/>
        <rFont val="微软雅黑"/>
        <family val="2"/>
        <charset val="134"/>
      </rPr>
      <t>月</t>
    </r>
  </si>
  <si>
    <r>
      <t>8</t>
    </r>
    <r>
      <rPr>
        <b/>
        <sz val="9"/>
        <color theme="0"/>
        <rFont val="微软雅黑"/>
        <family val="2"/>
        <charset val="134"/>
      </rPr>
      <t>月</t>
    </r>
  </si>
  <si>
    <r>
      <t>9</t>
    </r>
    <r>
      <rPr>
        <b/>
        <sz val="9"/>
        <color theme="0"/>
        <rFont val="微软雅黑"/>
        <family val="2"/>
        <charset val="134"/>
      </rPr>
      <t>月</t>
    </r>
  </si>
  <si>
    <r>
      <t>10</t>
    </r>
    <r>
      <rPr>
        <b/>
        <sz val="9"/>
        <color theme="0"/>
        <rFont val="微软雅黑"/>
        <family val="2"/>
        <charset val="134"/>
      </rPr>
      <t>月</t>
    </r>
  </si>
  <si>
    <r>
      <t>11</t>
    </r>
    <r>
      <rPr>
        <b/>
        <sz val="9"/>
        <color theme="0"/>
        <rFont val="微软雅黑"/>
        <family val="2"/>
        <charset val="134"/>
      </rPr>
      <t>月</t>
    </r>
  </si>
  <si>
    <r>
      <t>12</t>
    </r>
    <r>
      <rPr>
        <b/>
        <sz val="9"/>
        <color theme="0"/>
        <rFont val="微软雅黑"/>
        <family val="2"/>
        <charset val="134"/>
      </rPr>
      <t>月</t>
    </r>
  </si>
  <si>
    <r>
      <rPr>
        <b/>
        <sz val="9"/>
        <color theme="0"/>
        <rFont val="微软雅黑"/>
        <family val="2"/>
        <charset val="134"/>
      </rPr>
      <t>同比</t>
    </r>
  </si>
  <si>
    <r>
      <rPr>
        <sz val="9"/>
        <color theme="1"/>
        <rFont val="微软雅黑"/>
        <family val="2"/>
        <charset val="134"/>
      </rPr>
      <t>特斯拉中国</t>
    </r>
    <r>
      <rPr>
        <sz val="9"/>
        <color theme="1"/>
        <rFont val="Arial"/>
        <family val="2"/>
      </rPr>
      <t>-</t>
    </r>
    <r>
      <rPr>
        <sz val="9"/>
        <color theme="1"/>
        <rFont val="微软雅黑"/>
        <family val="2"/>
        <charset val="134"/>
      </rPr>
      <t>内销</t>
    </r>
    <r>
      <rPr>
        <sz val="9"/>
        <color theme="1"/>
        <rFont val="Arial"/>
        <family val="2"/>
      </rPr>
      <t>M3</t>
    </r>
  </si>
  <si>
    <r>
      <rPr>
        <sz val="9"/>
        <rFont val="微软雅黑"/>
        <family val="2"/>
        <charset val="134"/>
      </rPr>
      <t>特斯拉中国批发销量</t>
    </r>
  </si>
  <si>
    <r>
      <rPr>
        <sz val="9"/>
        <rFont val="微软雅黑"/>
        <family val="2"/>
        <charset val="134"/>
      </rPr>
      <t>出口量</t>
    </r>
  </si>
  <si>
    <r>
      <rPr>
        <sz val="9"/>
        <rFont val="微软雅黑"/>
        <family val="2"/>
        <charset val="134"/>
      </rPr>
      <t>内销</t>
    </r>
  </si>
  <si>
    <r>
      <rPr>
        <sz val="9"/>
        <rFont val="微软雅黑"/>
        <family val="2"/>
        <charset val="134"/>
      </rPr>
      <t>内销</t>
    </r>
    <phoneticPr fontId="17" type="noConversion"/>
  </si>
  <si>
    <r>
      <rPr>
        <sz val="8"/>
        <color theme="1"/>
        <rFont val="微软雅黑"/>
        <family val="2"/>
        <charset val="134"/>
      </rPr>
      <t>数据来源：特斯拉公告</t>
    </r>
  </si>
  <si>
    <r>
      <rPr>
        <sz val="8"/>
        <rFont val="微软雅黑"/>
        <family val="2"/>
        <charset val="134"/>
      </rPr>
      <t>数据来源：批发销量、出口量来自乘联会，分车型销量来自车主之家</t>
    </r>
    <phoneticPr fontId="17" type="noConversion"/>
  </si>
  <si>
    <r>
      <rPr>
        <sz val="9"/>
        <color rgb="FF000000"/>
        <rFont val="微软雅黑"/>
        <family val="2"/>
        <charset val="134"/>
      </rPr>
      <t>比亚迪</t>
    </r>
  </si>
  <si>
    <r>
      <rPr>
        <sz val="9"/>
        <color rgb="FF000000"/>
        <rFont val="微软雅黑"/>
        <family val="2"/>
        <charset val="134"/>
      </rPr>
      <t>极氪</t>
    </r>
  </si>
  <si>
    <r>
      <rPr>
        <sz val="9"/>
        <color rgb="FF000000"/>
        <rFont val="微软雅黑"/>
        <family val="2"/>
        <charset val="134"/>
      </rPr>
      <t>小鹏</t>
    </r>
  </si>
  <si>
    <r>
      <rPr>
        <sz val="9"/>
        <color rgb="FF000000"/>
        <rFont val="微软雅黑"/>
        <family val="2"/>
        <charset val="134"/>
      </rPr>
      <t>蔚来</t>
    </r>
  </si>
  <si>
    <r>
      <rPr>
        <sz val="9"/>
        <color rgb="FF000000"/>
        <rFont val="微软雅黑"/>
        <family val="2"/>
        <charset val="134"/>
      </rPr>
      <t>理想</t>
    </r>
  </si>
  <si>
    <r>
      <rPr>
        <sz val="9"/>
        <color rgb="FF000000"/>
        <rFont val="微软雅黑"/>
        <family val="2"/>
        <charset val="134"/>
      </rPr>
      <t>哪吒</t>
    </r>
  </si>
  <si>
    <r>
      <rPr>
        <sz val="9"/>
        <color rgb="FF000000"/>
        <rFont val="微软雅黑"/>
        <family val="2"/>
        <charset val="134"/>
      </rPr>
      <t>零跑</t>
    </r>
  </si>
  <si>
    <r>
      <rPr>
        <sz val="9"/>
        <color rgb="FF000000"/>
        <rFont val="微软雅黑"/>
        <family val="2"/>
        <charset val="134"/>
      </rPr>
      <t>赛力斯</t>
    </r>
  </si>
  <si>
    <r>
      <rPr>
        <sz val="9"/>
        <color rgb="FF000000"/>
        <rFont val="微软雅黑"/>
        <family val="2"/>
        <charset val="134"/>
      </rPr>
      <t>上汽乘用车</t>
    </r>
  </si>
  <si>
    <r>
      <rPr>
        <sz val="9"/>
        <color rgb="FF000000"/>
        <rFont val="微软雅黑"/>
        <family val="2"/>
        <charset val="134"/>
      </rPr>
      <t>特斯拉</t>
    </r>
  </si>
  <si>
    <r>
      <rPr>
        <sz val="9"/>
        <color rgb="FF000000"/>
        <rFont val="微软雅黑"/>
        <family val="2"/>
        <charset val="134"/>
      </rPr>
      <t>奇瑞</t>
    </r>
  </si>
  <si>
    <r>
      <rPr>
        <sz val="9"/>
        <color rgb="FF000000"/>
        <rFont val="微软雅黑"/>
        <family val="2"/>
        <charset val="134"/>
      </rPr>
      <t>长城</t>
    </r>
  </si>
  <si>
    <r>
      <rPr>
        <sz val="9"/>
        <color rgb="FF000000"/>
        <rFont val="微软雅黑"/>
        <family val="2"/>
        <charset val="134"/>
      </rPr>
      <t>北汽</t>
    </r>
  </si>
  <si>
    <r>
      <rPr>
        <sz val="9"/>
        <color rgb="FF000000"/>
        <rFont val="微软雅黑"/>
        <family val="2"/>
        <charset val="134"/>
      </rPr>
      <t>岚图</t>
    </r>
  </si>
  <si>
    <r>
      <rPr>
        <b/>
        <sz val="9"/>
        <color rgb="FF000000"/>
        <rFont val="微软雅黑"/>
        <family val="2"/>
        <charset val="134"/>
      </rPr>
      <t>新能源乘联会口径</t>
    </r>
  </si>
  <si>
    <r>
      <t>top15</t>
    </r>
    <r>
      <rPr>
        <sz val="9"/>
        <color rgb="FF000000"/>
        <rFont val="微软雅黑"/>
        <family val="2"/>
        <charset val="134"/>
      </rPr>
      <t>占比</t>
    </r>
  </si>
  <si>
    <r>
      <rPr>
        <sz val="9"/>
        <color rgb="FF000000"/>
        <rFont val="微软雅黑"/>
        <family val="2"/>
        <charset val="134"/>
      </rPr>
      <t>乘用车</t>
    </r>
  </si>
  <si>
    <r>
      <rPr>
        <sz val="9"/>
        <color rgb="FF000000"/>
        <rFont val="微软雅黑"/>
        <family val="2"/>
        <charset val="134"/>
      </rPr>
      <t>新能源占比</t>
    </r>
  </si>
  <si>
    <r>
      <rPr>
        <sz val="9"/>
        <color rgb="FF000000"/>
        <rFont val="微软雅黑"/>
        <family val="2"/>
        <charset val="134"/>
      </rPr>
      <t>长安</t>
    </r>
  </si>
  <si>
    <r>
      <rPr>
        <sz val="9"/>
        <color rgb="FF000000"/>
        <rFont val="微软雅黑"/>
        <family val="2"/>
        <charset val="134"/>
      </rPr>
      <t>上汽通用五菱</t>
    </r>
  </si>
  <si>
    <r>
      <rPr>
        <sz val="9"/>
        <color rgb="FF000000"/>
        <rFont val="微软雅黑"/>
        <family val="2"/>
        <charset val="134"/>
      </rPr>
      <t>吉利汽车</t>
    </r>
  </si>
  <si>
    <r>
      <rPr>
        <sz val="9"/>
        <color rgb="FF000000"/>
        <rFont val="微软雅黑"/>
        <family val="2"/>
        <charset val="134"/>
      </rPr>
      <t>小米</t>
    </r>
  </si>
  <si>
    <r>
      <t>top14</t>
    </r>
    <r>
      <rPr>
        <sz val="9"/>
        <color rgb="FF000000"/>
        <rFont val="微软雅黑"/>
        <family val="2"/>
        <charset val="134"/>
      </rPr>
      <t>占比</t>
    </r>
  </si>
  <si>
    <t>数据来源：乘联会</t>
    <phoneticPr fontId="17" type="noConversion"/>
  </si>
  <si>
    <r>
      <t>2025</t>
    </r>
    <r>
      <rPr>
        <b/>
        <sz val="9"/>
        <color theme="0"/>
        <rFont val="微软雅黑"/>
        <family val="2"/>
        <charset val="134"/>
      </rPr>
      <t>年</t>
    </r>
    <phoneticPr fontId="17" type="noConversion"/>
  </si>
  <si>
    <r>
      <t>1</t>
    </r>
    <r>
      <rPr>
        <b/>
        <sz val="9"/>
        <color theme="0"/>
        <rFont val="微软雅黑"/>
        <family val="2"/>
        <charset val="134"/>
      </rPr>
      <t>月</t>
    </r>
    <phoneticPr fontId="17" type="noConversion"/>
  </si>
  <si>
    <r>
      <t>2</t>
    </r>
    <r>
      <rPr>
        <b/>
        <sz val="9"/>
        <color theme="0"/>
        <rFont val="微软雅黑"/>
        <family val="2"/>
        <charset val="134"/>
      </rPr>
      <t>月</t>
    </r>
    <r>
      <rPr>
        <b/>
        <sz val="9"/>
        <color theme="0"/>
        <rFont val="宋体"/>
        <family val="2"/>
        <charset val="134"/>
      </rPr>
      <t/>
    </r>
  </si>
  <si>
    <r>
      <t>3</t>
    </r>
    <r>
      <rPr>
        <b/>
        <sz val="9"/>
        <color theme="0"/>
        <rFont val="微软雅黑"/>
        <family val="2"/>
        <charset val="134"/>
      </rPr>
      <t>月</t>
    </r>
    <r>
      <rPr>
        <b/>
        <sz val="9"/>
        <color theme="0"/>
        <rFont val="宋体"/>
        <family val="2"/>
        <charset val="134"/>
      </rPr>
      <t/>
    </r>
  </si>
  <si>
    <r>
      <t>4</t>
    </r>
    <r>
      <rPr>
        <b/>
        <sz val="9"/>
        <color theme="0"/>
        <rFont val="微软雅黑"/>
        <family val="2"/>
        <charset val="134"/>
      </rPr>
      <t>月</t>
    </r>
    <r>
      <rPr>
        <b/>
        <sz val="9"/>
        <color theme="0"/>
        <rFont val="宋体"/>
        <family val="2"/>
        <charset val="134"/>
      </rPr>
      <t/>
    </r>
  </si>
  <si>
    <r>
      <t>5</t>
    </r>
    <r>
      <rPr>
        <b/>
        <sz val="9"/>
        <color theme="0"/>
        <rFont val="微软雅黑"/>
        <family val="2"/>
        <charset val="134"/>
      </rPr>
      <t>月</t>
    </r>
    <r>
      <rPr>
        <b/>
        <sz val="9"/>
        <color theme="0"/>
        <rFont val="宋体"/>
        <family val="2"/>
        <charset val="134"/>
      </rPr>
      <t/>
    </r>
  </si>
  <si>
    <r>
      <t>6</t>
    </r>
    <r>
      <rPr>
        <b/>
        <sz val="9"/>
        <color theme="0"/>
        <rFont val="微软雅黑"/>
        <family val="2"/>
        <charset val="134"/>
      </rPr>
      <t>月</t>
    </r>
    <r>
      <rPr>
        <b/>
        <sz val="9"/>
        <color theme="0"/>
        <rFont val="宋体"/>
        <family val="2"/>
        <charset val="134"/>
      </rPr>
      <t/>
    </r>
  </si>
  <si>
    <r>
      <t>7</t>
    </r>
    <r>
      <rPr>
        <b/>
        <sz val="9"/>
        <color theme="0"/>
        <rFont val="微软雅黑"/>
        <family val="2"/>
        <charset val="134"/>
      </rPr>
      <t>月</t>
    </r>
    <r>
      <rPr>
        <b/>
        <sz val="9"/>
        <color theme="0"/>
        <rFont val="宋体"/>
        <family val="2"/>
        <charset val="134"/>
      </rPr>
      <t/>
    </r>
  </si>
  <si>
    <r>
      <t>8</t>
    </r>
    <r>
      <rPr>
        <b/>
        <sz val="9"/>
        <color theme="0"/>
        <rFont val="微软雅黑"/>
        <family val="2"/>
        <charset val="134"/>
      </rPr>
      <t>月</t>
    </r>
    <r>
      <rPr>
        <b/>
        <sz val="9"/>
        <color theme="0"/>
        <rFont val="宋体"/>
        <family val="2"/>
        <charset val="134"/>
      </rPr>
      <t/>
    </r>
  </si>
  <si>
    <r>
      <t>9</t>
    </r>
    <r>
      <rPr>
        <b/>
        <sz val="9"/>
        <color theme="0"/>
        <rFont val="微软雅黑"/>
        <family val="2"/>
        <charset val="134"/>
      </rPr>
      <t>月</t>
    </r>
    <r>
      <rPr>
        <b/>
        <sz val="9"/>
        <color theme="0"/>
        <rFont val="宋体"/>
        <family val="2"/>
        <charset val="134"/>
      </rPr>
      <t/>
    </r>
  </si>
  <si>
    <r>
      <t>10</t>
    </r>
    <r>
      <rPr>
        <b/>
        <sz val="9"/>
        <color theme="0"/>
        <rFont val="微软雅黑"/>
        <family val="2"/>
        <charset val="134"/>
      </rPr>
      <t>月</t>
    </r>
    <r>
      <rPr>
        <b/>
        <sz val="9"/>
        <color theme="0"/>
        <rFont val="宋体"/>
        <family val="2"/>
        <charset val="134"/>
      </rPr>
      <t/>
    </r>
  </si>
  <si>
    <r>
      <t>11</t>
    </r>
    <r>
      <rPr>
        <b/>
        <sz val="9"/>
        <color theme="0"/>
        <rFont val="微软雅黑"/>
        <family val="2"/>
        <charset val="134"/>
      </rPr>
      <t>月</t>
    </r>
    <r>
      <rPr>
        <b/>
        <sz val="9"/>
        <color theme="0"/>
        <rFont val="宋体"/>
        <family val="2"/>
        <charset val="134"/>
      </rPr>
      <t/>
    </r>
  </si>
  <si>
    <r>
      <t>12</t>
    </r>
    <r>
      <rPr>
        <b/>
        <sz val="9"/>
        <color theme="0"/>
        <rFont val="微软雅黑"/>
        <family val="2"/>
        <charset val="134"/>
      </rPr>
      <t>月</t>
    </r>
    <r>
      <rPr>
        <b/>
        <sz val="9"/>
        <color theme="0"/>
        <rFont val="宋体"/>
        <family val="2"/>
        <charset val="134"/>
      </rPr>
      <t/>
    </r>
  </si>
  <si>
    <r>
      <t>2024</t>
    </r>
    <r>
      <rPr>
        <b/>
        <sz val="9"/>
        <color theme="0"/>
        <rFont val="微软雅黑"/>
        <family val="2"/>
        <charset val="134"/>
      </rPr>
      <t>年</t>
    </r>
    <phoneticPr fontId="17" type="noConversion"/>
  </si>
  <si>
    <r>
      <t>2023</t>
    </r>
    <r>
      <rPr>
        <b/>
        <sz val="9"/>
        <color theme="0"/>
        <rFont val="微软雅黑"/>
        <family val="2"/>
        <charset val="134"/>
      </rPr>
      <t>年</t>
    </r>
    <phoneticPr fontId="17" type="noConversion"/>
  </si>
  <si>
    <r>
      <t>2022</t>
    </r>
    <r>
      <rPr>
        <b/>
        <sz val="9"/>
        <color theme="0"/>
        <rFont val="微软雅黑"/>
        <family val="2"/>
        <charset val="134"/>
      </rPr>
      <t>年</t>
    </r>
    <phoneticPr fontId="17" type="noConversion"/>
  </si>
  <si>
    <r>
      <rPr>
        <b/>
        <sz val="9"/>
        <color theme="0"/>
        <rFont val="微软雅黑"/>
        <family val="2"/>
        <charset val="134"/>
      </rPr>
      <t>总计</t>
    </r>
    <phoneticPr fontId="17" type="noConversion"/>
  </si>
  <si>
    <r>
      <rPr>
        <b/>
        <sz val="9"/>
        <color theme="0"/>
        <rFont val="微软雅黑"/>
        <family val="2"/>
        <charset val="134"/>
      </rPr>
      <t>中国新能源乘用车批发渗透率</t>
    </r>
  </si>
  <si>
    <r>
      <rPr>
        <b/>
        <sz val="9"/>
        <color theme="0"/>
        <rFont val="微软雅黑"/>
        <family val="2"/>
        <charset val="134"/>
      </rPr>
      <t>中国新能源车零售销量（万辆）</t>
    </r>
  </si>
  <si>
    <r>
      <rPr>
        <b/>
        <sz val="9"/>
        <color theme="0"/>
        <rFont val="微软雅黑"/>
        <family val="2"/>
        <charset val="134"/>
      </rPr>
      <t>中国乘用车狭义零售销量（万辆）</t>
    </r>
  </si>
  <si>
    <r>
      <rPr>
        <b/>
        <sz val="9"/>
        <color theme="0"/>
        <rFont val="微软雅黑"/>
        <family val="2"/>
        <charset val="134"/>
      </rPr>
      <t>中国新能源乘用车零售渗透率</t>
    </r>
  </si>
  <si>
    <r>
      <rPr>
        <b/>
        <sz val="9"/>
        <color theme="0"/>
        <rFont val="微软雅黑"/>
        <family val="2"/>
        <charset val="134"/>
      </rPr>
      <t>中国新能源车出口销量（万辆）</t>
    </r>
  </si>
  <si>
    <r>
      <rPr>
        <b/>
        <sz val="9"/>
        <color theme="0"/>
        <rFont val="微软雅黑"/>
        <family val="2"/>
        <charset val="134"/>
      </rPr>
      <t>中国乘用车出口销量（万辆）</t>
    </r>
  </si>
  <si>
    <r>
      <rPr>
        <sz val="9"/>
        <rFont val="微软雅黑"/>
        <family val="2"/>
        <charset val="134"/>
      </rPr>
      <t>同比</t>
    </r>
  </si>
  <si>
    <r>
      <rPr>
        <sz val="9"/>
        <rFont val="微软雅黑"/>
        <family val="2"/>
        <charset val="134"/>
      </rPr>
      <t>环比</t>
    </r>
  </si>
  <si>
    <r>
      <rPr>
        <sz val="9"/>
        <color theme="1"/>
        <rFont val="微软雅黑"/>
        <family val="2"/>
        <charset val="134"/>
      </rPr>
      <t>同比</t>
    </r>
  </si>
  <si>
    <t>出口</t>
    <phoneticPr fontId="17" type="noConversion"/>
  </si>
  <si>
    <t>中国新能源车狭义批发销量（万辆）</t>
    <phoneticPr fontId="17" type="noConversion"/>
  </si>
  <si>
    <t>中国乘用车狭义批发销量（万辆）</t>
    <phoneticPr fontId="17" type="noConversion"/>
  </si>
  <si>
    <t>数据来源：乘联会     单位：辆</t>
    <phoneticPr fontId="17" type="noConversion"/>
  </si>
  <si>
    <r>
      <rPr>
        <sz val="8"/>
        <color theme="1"/>
        <rFont val="微软雅黑"/>
        <family val="2"/>
        <charset val="134"/>
      </rPr>
      <t>数据来源：中国充电联盟</t>
    </r>
    <r>
      <rPr>
        <sz val="8"/>
        <color theme="1"/>
        <rFont val="Arial"/>
        <family val="2"/>
      </rPr>
      <t xml:space="preserve">     </t>
    </r>
    <r>
      <rPr>
        <sz val="8"/>
        <color theme="1"/>
        <rFont val="微软雅黑"/>
        <family val="2"/>
        <charset val="134"/>
      </rPr>
      <t>单位：万桩</t>
    </r>
    <phoneticPr fontId="17" type="noConversion"/>
  </si>
  <si>
    <r>
      <rPr>
        <b/>
        <sz val="9"/>
        <color theme="0"/>
        <rFont val="微软雅黑"/>
        <family val="2"/>
        <charset val="134"/>
      </rPr>
      <t>新能源车销量</t>
    </r>
    <r>
      <rPr>
        <b/>
        <sz val="9"/>
        <color theme="0"/>
        <rFont val="Arial"/>
        <family val="2"/>
      </rPr>
      <t>(</t>
    </r>
    <r>
      <rPr>
        <b/>
        <sz val="9"/>
        <color theme="0"/>
        <rFont val="微软雅黑"/>
        <family val="2"/>
        <charset val="134"/>
      </rPr>
      <t>万辆</t>
    </r>
    <r>
      <rPr>
        <b/>
        <sz val="9"/>
        <color theme="0"/>
        <rFont val="Arial"/>
        <family val="2"/>
      </rPr>
      <t>)</t>
    </r>
    <phoneticPr fontId="17" type="noConversion"/>
  </si>
  <si>
    <r>
      <rPr>
        <b/>
        <sz val="9"/>
        <color theme="0"/>
        <rFont val="微软雅黑"/>
        <family val="2"/>
        <charset val="134"/>
      </rPr>
      <t>汽车销量（万辆）</t>
    </r>
    <phoneticPr fontId="17" type="noConversion"/>
  </si>
  <si>
    <r>
      <rPr>
        <b/>
        <sz val="9"/>
        <color theme="0"/>
        <rFont val="微软雅黑"/>
        <family val="2"/>
        <charset val="134"/>
      </rPr>
      <t>渗透率</t>
    </r>
    <phoneticPr fontId="17" type="noConversion"/>
  </si>
  <si>
    <t>全球新能源车销量</t>
  </si>
  <si>
    <t>各国汽车协会官网</t>
    <phoneticPr fontId="17" type="noConversion"/>
  </si>
  <si>
    <t>欧洲新能源乘用车销量</t>
  </si>
  <si>
    <t>乘联会</t>
    <phoneticPr fontId="17" type="noConversion"/>
  </si>
  <si>
    <t>特斯拉公告、乘联会、车主之家</t>
    <phoneticPr fontId="17" type="noConversion"/>
  </si>
  <si>
    <t>特斯拉中国</t>
  </si>
  <si>
    <t>021-23183948</t>
    <phoneticPr fontId="17" type="noConversion"/>
  </si>
  <si>
    <t>liyiwen@gtht.com</t>
    <phoneticPr fontId="17" type="noConversion"/>
  </si>
  <si>
    <t>S0880125042249</t>
    <phoneticPr fontId="17" type="noConversion"/>
  </si>
  <si>
    <r>
      <rPr>
        <b/>
        <sz val="9"/>
        <color rgb="FFC00000"/>
        <rFont val="微软雅黑"/>
        <family val="2"/>
        <charset val="134"/>
      </rPr>
      <t>德国</t>
    </r>
    <phoneticPr fontId="19" type="noConversion"/>
  </si>
  <si>
    <r>
      <rPr>
        <b/>
        <sz val="9"/>
        <rFont val="微软雅黑"/>
        <family val="2"/>
        <charset val="134"/>
      </rPr>
      <t>新能源乘用车（辆）</t>
    </r>
    <phoneticPr fontId="21" type="noConversion"/>
  </si>
  <si>
    <r>
      <t>1</t>
    </r>
    <r>
      <rPr>
        <b/>
        <sz val="9"/>
        <rFont val="微软雅黑"/>
        <family val="2"/>
        <charset val="134"/>
      </rPr>
      <t>月</t>
    </r>
  </si>
  <si>
    <r>
      <t>2</t>
    </r>
    <r>
      <rPr>
        <b/>
        <sz val="9"/>
        <rFont val="微软雅黑"/>
        <family val="2"/>
        <charset val="134"/>
      </rPr>
      <t>月</t>
    </r>
  </si>
  <si>
    <r>
      <t>3</t>
    </r>
    <r>
      <rPr>
        <b/>
        <sz val="9"/>
        <rFont val="微软雅黑"/>
        <family val="2"/>
        <charset val="134"/>
      </rPr>
      <t>月</t>
    </r>
  </si>
  <si>
    <r>
      <t>4</t>
    </r>
    <r>
      <rPr>
        <b/>
        <sz val="9"/>
        <rFont val="微软雅黑"/>
        <family val="2"/>
        <charset val="134"/>
      </rPr>
      <t>月</t>
    </r>
  </si>
  <si>
    <r>
      <t>5</t>
    </r>
    <r>
      <rPr>
        <b/>
        <sz val="9"/>
        <rFont val="微软雅黑"/>
        <family val="2"/>
        <charset val="134"/>
      </rPr>
      <t>月</t>
    </r>
  </si>
  <si>
    <r>
      <t>6</t>
    </r>
    <r>
      <rPr>
        <b/>
        <sz val="9"/>
        <rFont val="微软雅黑"/>
        <family val="2"/>
        <charset val="134"/>
      </rPr>
      <t>月</t>
    </r>
  </si>
  <si>
    <r>
      <t>7</t>
    </r>
    <r>
      <rPr>
        <b/>
        <sz val="9"/>
        <rFont val="微软雅黑"/>
        <family val="2"/>
        <charset val="134"/>
      </rPr>
      <t>月</t>
    </r>
  </si>
  <si>
    <r>
      <t>8</t>
    </r>
    <r>
      <rPr>
        <b/>
        <sz val="9"/>
        <rFont val="微软雅黑"/>
        <family val="2"/>
        <charset val="134"/>
      </rPr>
      <t>月</t>
    </r>
  </si>
  <si>
    <r>
      <t>9</t>
    </r>
    <r>
      <rPr>
        <b/>
        <sz val="9"/>
        <rFont val="微软雅黑"/>
        <family val="2"/>
        <charset val="134"/>
      </rPr>
      <t>月</t>
    </r>
  </si>
  <si>
    <r>
      <t>10</t>
    </r>
    <r>
      <rPr>
        <b/>
        <sz val="9"/>
        <rFont val="微软雅黑"/>
        <family val="2"/>
        <charset val="134"/>
      </rPr>
      <t>月</t>
    </r>
  </si>
  <si>
    <r>
      <t>11</t>
    </r>
    <r>
      <rPr>
        <b/>
        <sz val="9"/>
        <rFont val="微软雅黑"/>
        <family val="2"/>
        <charset val="134"/>
      </rPr>
      <t>月</t>
    </r>
  </si>
  <si>
    <r>
      <t>12</t>
    </r>
    <r>
      <rPr>
        <b/>
        <sz val="9"/>
        <rFont val="微软雅黑"/>
        <family val="2"/>
        <charset val="134"/>
      </rPr>
      <t>月</t>
    </r>
  </si>
  <si>
    <r>
      <rPr>
        <b/>
        <sz val="9"/>
        <rFont val="微软雅黑"/>
        <family val="2"/>
        <charset val="134"/>
      </rPr>
      <t>总计</t>
    </r>
  </si>
  <si>
    <r>
      <rPr>
        <b/>
        <sz val="9"/>
        <rFont val="微软雅黑"/>
        <family val="2"/>
        <charset val="134"/>
      </rPr>
      <t>渗透率</t>
    </r>
    <phoneticPr fontId="21" type="noConversion"/>
  </si>
  <si>
    <r>
      <rPr>
        <b/>
        <sz val="9"/>
        <rFont val="微软雅黑"/>
        <family val="2"/>
        <charset val="134"/>
      </rPr>
      <t>乘用车（辆）</t>
    </r>
    <phoneticPr fontId="21" type="noConversion"/>
  </si>
  <si>
    <r>
      <rPr>
        <sz val="8"/>
        <color theme="1"/>
        <rFont val="微软雅黑"/>
        <family val="2"/>
        <charset val="134"/>
      </rPr>
      <t>数据来源：德国联邦汽车运输管理局</t>
    </r>
    <phoneticPr fontId="21" type="noConversion"/>
  </si>
  <si>
    <r>
      <rPr>
        <b/>
        <sz val="9"/>
        <color rgb="FFC00000"/>
        <rFont val="微软雅黑"/>
        <family val="2"/>
        <charset val="134"/>
      </rPr>
      <t>英国</t>
    </r>
    <phoneticPr fontId="19" type="noConversion"/>
  </si>
  <si>
    <r>
      <rPr>
        <sz val="9"/>
        <color theme="1"/>
        <rFont val="微软雅黑"/>
        <family val="2"/>
        <charset val="134"/>
      </rPr>
      <t>数据来源：英国汽车制造商和贸易商协会</t>
    </r>
    <phoneticPr fontId="21" type="noConversion"/>
  </si>
  <si>
    <r>
      <rPr>
        <b/>
        <sz val="9"/>
        <color rgb="FFC00000"/>
        <rFont val="微软雅黑"/>
        <family val="2"/>
        <charset val="134"/>
      </rPr>
      <t>法国</t>
    </r>
    <phoneticPr fontId="19" type="noConversion"/>
  </si>
  <si>
    <r>
      <rPr>
        <sz val="9"/>
        <color theme="1"/>
        <rFont val="微软雅黑"/>
        <family val="2"/>
        <charset val="134"/>
      </rPr>
      <t>数据来源：法国汽车制造商委员会</t>
    </r>
    <phoneticPr fontId="21" type="noConversion"/>
  </si>
  <si>
    <r>
      <rPr>
        <b/>
        <sz val="9"/>
        <color rgb="FFC00000"/>
        <rFont val="微软雅黑"/>
        <family val="2"/>
        <charset val="134"/>
      </rPr>
      <t>瑞典</t>
    </r>
    <phoneticPr fontId="19" type="noConversion"/>
  </si>
  <si>
    <r>
      <rPr>
        <sz val="9"/>
        <color theme="1"/>
        <rFont val="微软雅黑"/>
        <family val="2"/>
        <charset val="134"/>
      </rPr>
      <t>数据来源：</t>
    </r>
    <r>
      <rPr>
        <sz val="9"/>
        <color theme="1"/>
        <rFont val="Arial"/>
        <family val="2"/>
      </rPr>
      <t>Mobility Sweden</t>
    </r>
    <phoneticPr fontId="21" type="noConversion"/>
  </si>
  <si>
    <r>
      <rPr>
        <b/>
        <sz val="9"/>
        <color rgb="FFC00000"/>
        <rFont val="微软雅黑"/>
        <family val="2"/>
        <charset val="134"/>
      </rPr>
      <t>挪威</t>
    </r>
    <phoneticPr fontId="19" type="noConversion"/>
  </si>
  <si>
    <r>
      <rPr>
        <b/>
        <sz val="9"/>
        <color rgb="FFC00000"/>
        <rFont val="微软雅黑"/>
        <family val="2"/>
        <charset val="134"/>
      </rPr>
      <t>意大利</t>
    </r>
    <phoneticPr fontId="19" type="noConversion"/>
  </si>
  <si>
    <r>
      <rPr>
        <sz val="9"/>
        <color theme="1"/>
        <rFont val="微软雅黑"/>
        <family val="2"/>
        <charset val="134"/>
      </rPr>
      <t>数据来源：</t>
    </r>
    <r>
      <rPr>
        <sz val="9"/>
        <color theme="1"/>
        <rFont val="Arial"/>
        <family val="2"/>
      </rPr>
      <t>UNRAE</t>
    </r>
    <phoneticPr fontId="21" type="noConversion"/>
  </si>
  <si>
    <r>
      <rPr>
        <b/>
        <sz val="9"/>
        <color rgb="FFC00000"/>
        <rFont val="微软雅黑"/>
        <family val="2"/>
        <charset val="134"/>
      </rPr>
      <t>西班牙</t>
    </r>
    <phoneticPr fontId="19" type="noConversion"/>
  </si>
  <si>
    <r>
      <rPr>
        <sz val="9"/>
        <color theme="1"/>
        <rFont val="微软雅黑"/>
        <family val="2"/>
        <charset val="134"/>
      </rPr>
      <t>数据来源：西班牙汽车和卡车制造商协会</t>
    </r>
    <phoneticPr fontId="21" type="noConversion"/>
  </si>
  <si>
    <t>新能源汽车数据库</t>
    <phoneticPr fontId="17" type="noConversion"/>
  </si>
  <si>
    <t>批发</t>
    <phoneticPr fontId="17" type="noConversion"/>
  </si>
  <si>
    <t>零售</t>
    <phoneticPr fontId="17" type="noConversion"/>
  </si>
  <si>
    <t>新能源汽车销量
（充电联盟口径）</t>
    <phoneticPr fontId="17" type="noConversion"/>
  </si>
  <si>
    <r>
      <rPr>
        <b/>
        <sz val="9"/>
        <color theme="1"/>
        <rFont val="微软雅黑"/>
        <family val="2"/>
        <charset val="134"/>
      </rPr>
      <t>新能源汽车销量（万辆）</t>
    </r>
  </si>
  <si>
    <r>
      <rPr>
        <sz val="9"/>
        <color theme="1"/>
        <rFont val="微软雅黑"/>
        <family val="2"/>
        <charset val="134"/>
      </rPr>
      <t>其中：</t>
    </r>
    <r>
      <rPr>
        <sz val="9"/>
        <color theme="1"/>
        <rFont val="Arial"/>
        <family val="2"/>
      </rPr>
      <t>BEV</t>
    </r>
    <phoneticPr fontId="17" type="noConversion"/>
  </si>
  <si>
    <r>
      <rPr>
        <sz val="9"/>
        <color theme="1"/>
        <rFont val="微软雅黑"/>
        <family val="2"/>
        <charset val="134"/>
      </rPr>
      <t>纯电占比</t>
    </r>
  </si>
  <si>
    <r>
      <rPr>
        <b/>
        <sz val="9"/>
        <color theme="1"/>
        <rFont val="微软雅黑"/>
        <family val="2"/>
        <charset val="134"/>
      </rPr>
      <t>乘用车销量（万辆）</t>
    </r>
  </si>
  <si>
    <r>
      <rPr>
        <b/>
        <sz val="9"/>
        <color theme="1"/>
        <rFont val="微软雅黑"/>
        <family val="2"/>
        <charset val="134"/>
      </rPr>
      <t>汽车销量（万辆）</t>
    </r>
  </si>
  <si>
    <r>
      <rPr>
        <b/>
        <sz val="9"/>
        <color theme="1"/>
        <rFont val="微软雅黑"/>
        <family val="2"/>
        <charset val="134"/>
      </rPr>
      <t>渗透率</t>
    </r>
  </si>
  <si>
    <r>
      <rPr>
        <b/>
        <sz val="9"/>
        <color theme="0"/>
        <rFont val="微软雅黑"/>
        <family val="2"/>
        <charset val="134"/>
      </rPr>
      <t>中汽协汽车销量（万辆）</t>
    </r>
  </si>
  <si>
    <r>
      <rPr>
        <b/>
        <sz val="9"/>
        <color theme="0"/>
        <rFont val="微软雅黑"/>
        <family val="2"/>
        <charset val="134"/>
      </rPr>
      <t>中汽协渗透率销量</t>
    </r>
  </si>
  <si>
    <t>公共充电桩保有量</t>
    <phoneticPr fontId="17" type="noConversion"/>
  </si>
  <si>
    <t>私人充电桩保有量</t>
    <phoneticPr fontId="17" type="noConversion"/>
  </si>
  <si>
    <t>充电桩新增量
同比</t>
    <phoneticPr fontId="17" type="noConversion"/>
  </si>
  <si>
    <t>充电桩新增量
环比</t>
    <phoneticPr fontId="17" type="noConversion"/>
  </si>
  <si>
    <r>
      <rPr>
        <sz val="10"/>
        <color theme="1"/>
        <rFont val="楷体_GB2312"/>
        <family val="3"/>
        <charset val="134"/>
      </rPr>
      <t>电话：</t>
    </r>
  </si>
  <si>
    <r>
      <rPr>
        <sz val="10"/>
        <color theme="1"/>
        <rFont val="楷体_GB2312"/>
        <family val="3"/>
        <charset val="134"/>
      </rPr>
      <t>邮箱：</t>
    </r>
  </si>
  <si>
    <r>
      <rPr>
        <sz val="10"/>
        <color theme="1"/>
        <rFont val="楷体_GB2312"/>
        <family val="3"/>
        <charset val="134"/>
      </rPr>
      <t>证书编号：</t>
    </r>
  </si>
  <si>
    <t>新能源车企月度销量</t>
  </si>
  <si>
    <r>
      <rPr>
        <sz val="8"/>
        <color theme="1"/>
        <rFont val="微软雅黑"/>
        <family val="2"/>
        <charset val="134"/>
      </rPr>
      <t>数据来源：</t>
    </r>
    <r>
      <rPr>
        <sz val="8"/>
        <color theme="1"/>
        <rFont val="Arial"/>
        <family val="2"/>
      </rPr>
      <t>CleanTechnica</t>
    </r>
    <r>
      <rPr>
        <sz val="8"/>
        <color theme="1"/>
        <rFont val="微软雅黑"/>
        <family val="2"/>
        <charset val="134"/>
      </rPr>
      <t>、</t>
    </r>
    <r>
      <rPr>
        <sz val="8"/>
        <color theme="1"/>
        <rFont val="Arial"/>
        <family val="2"/>
      </rPr>
      <t>OICA</t>
    </r>
    <phoneticPr fontId="17" type="noConversion"/>
  </si>
  <si>
    <t>数据来源：中汽协</t>
    <phoneticPr fontId="17" type="noConversion"/>
  </si>
  <si>
    <t>特斯拉全球（千辆）</t>
    <phoneticPr fontId="17" type="noConversion"/>
  </si>
  <si>
    <r>
      <t>2025</t>
    </r>
    <r>
      <rPr>
        <b/>
        <sz val="9"/>
        <color theme="0"/>
        <rFont val="微软雅黑"/>
        <family val="2"/>
        <charset val="134"/>
      </rPr>
      <t>年（辆）</t>
    </r>
    <phoneticPr fontId="17" type="noConversion"/>
  </si>
  <si>
    <r>
      <t>2020</t>
    </r>
    <r>
      <rPr>
        <b/>
        <sz val="9"/>
        <color theme="0"/>
        <rFont val="微软雅黑"/>
        <family val="2"/>
        <charset val="134"/>
      </rPr>
      <t>年（辆）</t>
    </r>
    <phoneticPr fontId="17" type="noConversion"/>
  </si>
  <si>
    <r>
      <t>2021</t>
    </r>
    <r>
      <rPr>
        <b/>
        <sz val="9"/>
        <color theme="0"/>
        <rFont val="微软雅黑"/>
        <family val="2"/>
        <charset val="134"/>
      </rPr>
      <t>年（辆）</t>
    </r>
    <phoneticPr fontId="17" type="noConversion"/>
  </si>
  <si>
    <r>
      <t>2022</t>
    </r>
    <r>
      <rPr>
        <b/>
        <sz val="9"/>
        <color theme="0"/>
        <rFont val="微软雅黑"/>
        <family val="2"/>
        <charset val="134"/>
      </rPr>
      <t>年（辆）</t>
    </r>
    <phoneticPr fontId="17" type="noConversion"/>
  </si>
  <si>
    <r>
      <t>2023</t>
    </r>
    <r>
      <rPr>
        <b/>
        <sz val="9"/>
        <color theme="0"/>
        <rFont val="微软雅黑"/>
        <family val="2"/>
        <charset val="134"/>
      </rPr>
      <t>年（辆）</t>
    </r>
    <phoneticPr fontId="17" type="noConversion"/>
  </si>
  <si>
    <r>
      <t>2024</t>
    </r>
    <r>
      <rPr>
        <b/>
        <sz val="9"/>
        <color theme="0"/>
        <rFont val="微软雅黑"/>
        <family val="2"/>
        <charset val="134"/>
      </rPr>
      <t>年（辆）</t>
    </r>
    <phoneticPr fontId="17" type="noConversion"/>
  </si>
  <si>
    <r>
      <t>2026</t>
    </r>
    <r>
      <rPr>
        <b/>
        <sz val="9"/>
        <color theme="0"/>
        <rFont val="微软雅黑"/>
        <family val="2"/>
        <charset val="134"/>
      </rPr>
      <t>年</t>
    </r>
    <phoneticPr fontId="17" type="noConversion"/>
  </si>
  <si>
    <t>特斯拉</t>
    <phoneticPr fontId="17" type="noConversion"/>
  </si>
  <si>
    <t>奇瑞</t>
    <phoneticPr fontId="17" type="noConversion"/>
  </si>
  <si>
    <t>赛力斯</t>
    <phoneticPr fontId="17" type="noConversion"/>
  </si>
  <si>
    <t>小米</t>
    <phoneticPr fontId="17" type="noConversion"/>
  </si>
  <si>
    <t>上汽</t>
    <phoneticPr fontId="17" type="noConversion"/>
  </si>
  <si>
    <t>理想</t>
    <phoneticPr fontId="17" type="noConversion"/>
  </si>
  <si>
    <t>五菱</t>
    <phoneticPr fontId="17" type="noConversion"/>
  </si>
  <si>
    <t>东风</t>
    <phoneticPr fontId="17" type="noConversion"/>
  </si>
  <si>
    <t>蔚来</t>
    <phoneticPr fontId="17" type="noConversion"/>
  </si>
  <si>
    <t>长安</t>
    <phoneticPr fontId="17" type="noConversion"/>
  </si>
  <si>
    <t>广汽埃安</t>
    <phoneticPr fontId="17" type="noConversion"/>
  </si>
  <si>
    <t>小鹏</t>
    <phoneticPr fontId="17" type="noConversion"/>
  </si>
  <si>
    <t>长城</t>
    <phoneticPr fontId="17" type="noConversion"/>
  </si>
  <si>
    <t>top16</t>
    <phoneticPr fontId="17" type="noConversion"/>
  </si>
  <si>
    <r>
      <t>top16</t>
    </r>
    <r>
      <rPr>
        <sz val="9"/>
        <color rgb="FF000000"/>
        <rFont val="微软雅黑"/>
        <family val="2"/>
        <charset val="134"/>
      </rPr>
      <t>占比</t>
    </r>
    <phoneticPr fontId="17" type="noConversion"/>
  </si>
  <si>
    <r>
      <t>2026</t>
    </r>
    <r>
      <rPr>
        <b/>
        <sz val="9"/>
        <color theme="0"/>
        <rFont val="微软雅黑"/>
        <family val="2"/>
        <charset val="134"/>
      </rPr>
      <t>年（辆）</t>
    </r>
    <phoneticPr fontId="17" type="noConversion"/>
  </si>
  <si>
    <r>
      <rPr>
        <b/>
        <sz val="9"/>
        <color theme="0"/>
        <rFont val="微软雅黑"/>
        <family val="2"/>
        <charset val="134"/>
      </rPr>
      <t>中汽协新能源</t>
    </r>
    <r>
      <rPr>
        <b/>
        <sz val="9"/>
        <color theme="0"/>
        <rFont val="等线"/>
        <family val="2"/>
        <charset val="134"/>
      </rPr>
      <t>汽车</t>
    </r>
    <r>
      <rPr>
        <b/>
        <sz val="9"/>
        <color theme="0"/>
        <rFont val="微软雅黑"/>
        <family val="2"/>
        <charset val="134"/>
      </rPr>
      <t>销量（万辆）</t>
    </r>
    <phoneticPr fontId="17" type="noConversion"/>
  </si>
  <si>
    <t>徐强（分析师）</t>
    <phoneticPr fontId="17" type="noConversion"/>
  </si>
  <si>
    <t>牟俊宇（分析师）</t>
    <phoneticPr fontId="17" type="noConversion"/>
  </si>
  <si>
    <t>李依雯（研究助理）</t>
    <phoneticPr fontId="17" type="noConversion"/>
  </si>
  <si>
    <t>数据来源：挪威道路交通信息委员会、挪威电动汽车协会</t>
    <phoneticPr fontId="21" type="noConversion"/>
  </si>
  <si>
    <r>
      <t>2026年</t>
    </r>
    <r>
      <rPr>
        <sz val="9"/>
        <color theme="1"/>
        <rFont val="微软雅黑"/>
        <family val="2"/>
        <charset val="134"/>
      </rPr>
      <t/>
    </r>
  </si>
  <si>
    <r>
      <t>2026</t>
    </r>
    <r>
      <rPr>
        <b/>
        <sz val="11"/>
        <color theme="0"/>
        <rFont val="楷体_GB2312"/>
        <family val="3"/>
        <charset val="134"/>
      </rPr>
      <t>年</t>
    </r>
    <r>
      <rPr>
        <b/>
        <sz val="11"/>
        <color theme="0"/>
        <rFont val="Arial"/>
        <family val="2"/>
      </rPr>
      <t>6</t>
    </r>
    <r>
      <rPr>
        <b/>
        <sz val="11"/>
        <color theme="0"/>
        <rFont val="楷体_GB2312"/>
        <family val="3"/>
        <charset val="134"/>
      </rPr>
      <t>月</t>
    </r>
    <r>
      <rPr>
        <b/>
        <sz val="11"/>
        <color theme="0"/>
        <rFont val="Arial"/>
        <family val="2"/>
      </rPr>
      <t>21</t>
    </r>
    <r>
      <rPr>
        <b/>
        <sz val="11"/>
        <color theme="0"/>
        <rFont val="楷体_GB2312"/>
        <family val="3"/>
        <charset val="134"/>
      </rPr>
      <t>日</t>
    </r>
    <phoneticPr fontId="17" type="noConversion"/>
  </si>
  <si>
    <t>（021）
38676666</t>
  </si>
  <si>
    <t>电话</t>
  </si>
  <si>
    <t>邮编</t>
  </si>
  <si>
    <t>上海市黄浦区中山南路888号</t>
  </si>
  <si>
    <t>地址</t>
  </si>
  <si>
    <t>国泰海通证券研究</t>
  </si>
  <si>
    <t>明显弱于沪深300指数</t>
  </si>
  <si>
    <t>减持</t>
  </si>
  <si>
    <t>基本与沪深300指数持平</t>
  </si>
  <si>
    <t>中性</t>
  </si>
  <si>
    <t>明显强于沪深300指数</t>
  </si>
  <si>
    <t>行业投资评级</t>
  </si>
  <si>
    <t>对于个股未来市场表现与基准指数相比无明确观点</t>
  </si>
  <si>
    <t>无评级</t>
  </si>
  <si>
    <t>相对沪深300指数下跌5%以上</t>
  </si>
  <si>
    <t>相对沪深300指数涨幅介于-5%～5%</t>
  </si>
  <si>
    <t>相对沪深300指数涨幅介于5%～10%之间</t>
  </si>
  <si>
    <t>谨慎增持</t>
  </si>
  <si>
    <t>相对沪深300指数涨幅10%以上</t>
  </si>
  <si>
    <t>股票投资评级</t>
  </si>
  <si>
    <r>
      <t xml:space="preserve">1.投资建议的比较标准
</t>
    </r>
    <r>
      <rPr>
        <sz val="9"/>
        <rFont val="宋体"/>
        <family val="3"/>
        <charset val="134"/>
      </rPr>
      <t>投资评级分为股票评级和行业评级。
以报告发布后的12个月内的市场表现为比较标准，报告发布日后的12个月内的公司股价（或行业指数）的涨跌幅相对同期的沪深300指数涨跌幅为基准。</t>
    </r>
  </si>
  <si>
    <t>说明</t>
  </si>
  <si>
    <t>评级</t>
  </si>
  <si>
    <t>评级说明</t>
  </si>
  <si>
    <t>若本公司以外的其他机构（以下简称“该机构”）发送本报告，则由该机构独自为此发送行为负责。通过此途径获得本报告的投资者应自行联系该机构以要求获悉更详细信息或进而交易本报告中提及的证券。本报告不构成本公司向该机构之客户提供的投资建议，本公司、本公司员工或者关联机构亦不为该机构之客户因使用本报告或报告所载内容引起的任何损失承担任何责任。</t>
  </si>
  <si>
    <t>本报告版权仅为本公司所有，未经书面许可，任何机构和个人不得以任何形式翻版、复制、发表或引用。如征得本公司同意进行引用、刊发的，需在允许的范围内使用，并注明出处为“国泰海通证券研究”，且不得对本报告进行任何有悖原意的引用、删节和修改。</t>
  </si>
  <si>
    <t>市场有风险，投资需谨慎。投资者不应将本报告为作出投资决策的惟一参考因素，亦不应认为本报告可以取代自己的判断。在决定投资前，如有需要，投资者务必向专业人士咨询并谨慎决策。</t>
  </si>
  <si>
    <t>本公司利用信息隔离墙控制内部一个或多个领域、部门或关联机构之间的信息流动。因此，投资者应注意，在法律许可的情况下，本公司及其所属关联机构可能会持有报告中提到的公司所发行的证券或期权并进行证券或期权交易，也可能为这些公司提供或者争取提供投资银行、财务顾问或者金融产品等相关服务。在法律许可的情况下，本公司的员工可能担任本报告所提到的公司的董事。</t>
  </si>
  <si>
    <t>本报告中所指的投资及服务可能不适合个别客户，不构成客户私人咨询建议。在任何情况下，本报告中的信息或所表述的意见均不构成对任何人的投资建议。在任何情况下，本公司、本公司员工或者关联机构不承诺投资者一定获利，不与投资者分享投资收益，也不对任何人因使用本报告中的任何内容所引致的任何损失负任何责任。投资者务必注意，其据此做出的任何投资决策与本公司、本公司员工或者关联机构无关。</t>
  </si>
  <si>
    <t>本报告的信息来源于已公开的资料，本公司对该等信息的准确性、完整性或可靠性不作任何保证。本报告所载的资料、意见及推测仅反映本公司于发布本报告当日的判断，本报告所指的证券或投资标的的价格、价值及投资收入可升可跌。过往表现不应作为日后的表现依据。在不同时期，本公司可发出与本报告所载资料、意见及推测不一致的报告。本公司不保证本报告所含信息保持在最新状态。同时，本公司对本报告所含信息可在不发出通知的情形下做出修改，投资者应当自行关注相应的更新或修改。</t>
  </si>
  <si>
    <t>本报告仅供国泰海通证券股份有限公司（以下简称“本公司”）授权客户使用。本公司不会因接收人收到本报告而视其为本公司的当然客户。本报告仅在相关法律许可的情况下发放，并仅为提供信息而发放，概不构成任何广告。</t>
  </si>
  <si>
    <t>免责声明</t>
  </si>
  <si>
    <t>作者具有中国证券业协会授予的证券投资咨询执业资格或相当的专业胜任能力，保证报告所采用的数据均来自合规渠道，分析逻辑基于作者的职业理解，本报告清晰准确地反映了作者的研究观点，力求独立、客观和公正，结论不受任何第三方的授意或影响，特此声明。</t>
  </si>
  <si>
    <t>分析师声明</t>
  </si>
  <si>
    <t>本公司具有中国证监会核准的证券投资咨询业务资格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</si>
</sst>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76" formatCode="_-* #,##0.00_-;\-* #,##0.00_-;_-* &quot;-&quot;??_-;_-@_-"/>
    <numFmt numFmtId="177" formatCode="yyyy/mm;@"/>
    <numFmt numFmtId="178" formatCode="0.0"/>
    <numFmt numFmtId="179" formatCode="0.0_ "/>
    <numFmt numFmtId="180" formatCode="0.0_);[Red]\(0.0\)"/>
    <numFmt numFmtId="181" formatCode="0.00_ "/>
    <numFmt numFmtId="182" formatCode="yyyy&quot;年&quot;m&quot;月&quot;;@"/>
    <numFmt numFmtId="183" formatCode="0.0%"/>
    <numFmt numFmtId="184" formatCode="0_);[Red]\(0\)"/>
    <numFmt numFmtId="185" formatCode="###,###,###,###,##0.0"/>
    <numFmt numFmtId="186" formatCode="0.0000_ "/>
    <numFmt numFmtId="187" formatCode="0.00_);[Red]\(0.00\)"/>
    <numFmt numFmtId="188" formatCode="#,##0_ "/>
    <numFmt numFmtId="189" formatCode="###,###,###,###,##0.00"/>
    <numFmt numFmtId="190" formatCode="#,##0.0_ "/>
    <numFmt numFmtId="191" formatCode="#,##0.0"/>
    <numFmt numFmtId="192" formatCode="0.000"/>
    <numFmt numFmtId="193" formatCode="0_ "/>
  </numFmts>
  <fonts count="68" x14ac:knownFonts="1">
    <font>
      <sz val="11"/>
      <color theme="1"/>
      <name val="宋体"/>
      <charset val="134"/>
      <scheme val="minor"/>
    </font>
    <font>
      <u/>
      <sz val="12"/>
      <color indexed="12"/>
      <name val="宋体"/>
      <family val="3"/>
      <charset val="134"/>
    </font>
    <font>
      <sz val="18"/>
      <color theme="1"/>
      <name val="楷体_GB2312"/>
      <family val="3"/>
      <charset val="134"/>
    </font>
    <font>
      <b/>
      <sz val="28"/>
      <color theme="0"/>
      <name val="楷体_GB2312"/>
      <family val="3"/>
      <charset val="134"/>
    </font>
    <font>
      <b/>
      <sz val="18"/>
      <name val="楷体_GB2312"/>
      <family val="3"/>
      <charset val="134"/>
    </font>
    <font>
      <b/>
      <sz val="11"/>
      <color theme="4" tint="-0.249977111117893"/>
      <name val="楷体_GB2312"/>
      <family val="3"/>
      <charset val="134"/>
    </font>
    <font>
      <u/>
      <sz val="11"/>
      <color theme="10"/>
      <name val="楷体"/>
      <family val="3"/>
      <charset val="134"/>
    </font>
    <font>
      <sz val="11"/>
      <color theme="4" tint="-0.249977111117893"/>
      <name val="Times New Roman"/>
      <family val="1"/>
    </font>
    <font>
      <sz val="11"/>
      <color theme="4" tint="-0.249977111117893"/>
      <name val="楷体_GB2312"/>
      <family val="3"/>
      <charset val="134"/>
    </font>
    <font>
      <sz val="11"/>
      <color theme="10"/>
      <name val="楷体"/>
      <family val="3"/>
      <charset val="134"/>
    </font>
    <font>
      <b/>
      <sz val="12"/>
      <name val="楷体_GB2312"/>
      <family val="3"/>
      <charset val="134"/>
    </font>
    <font>
      <b/>
      <sz val="12"/>
      <name val="宋体"/>
      <family val="3"/>
      <charset val="134"/>
    </font>
    <font>
      <sz val="11"/>
      <color theme="1"/>
      <name val="宋体"/>
      <family val="3"/>
      <charset val="134"/>
      <scheme val="minor"/>
    </font>
    <font>
      <sz val="10"/>
      <name val="Arial"/>
      <family val="2"/>
    </font>
    <font>
      <sz val="12"/>
      <color theme="1"/>
      <name val="宋体"/>
      <family val="3"/>
      <charset val="134"/>
      <scheme val="minor"/>
    </font>
    <font>
      <sz val="9"/>
      <name val="宋体"/>
      <family val="3"/>
      <charset val="134"/>
    </font>
    <font>
      <b/>
      <sz val="9"/>
      <name val="宋体"/>
      <family val="3"/>
      <charset val="134"/>
    </font>
    <font>
      <sz val="9"/>
      <name val="宋体"/>
      <family val="3"/>
      <charset val="134"/>
      <scheme val="minor"/>
    </font>
    <font>
      <sz val="11"/>
      <color theme="1"/>
      <name val="微软雅黑"/>
      <family val="2"/>
      <charset val="134"/>
    </font>
    <font>
      <sz val="9"/>
      <name val="宋体"/>
      <family val="3"/>
      <charset val="134"/>
      <scheme val="minor"/>
    </font>
    <font>
      <sz val="9"/>
      <color theme="1"/>
      <name val="微软雅黑"/>
      <family val="2"/>
      <charset val="134"/>
    </font>
    <font>
      <sz val="9"/>
      <name val="微软雅黑"/>
      <family val="2"/>
      <charset val="134"/>
    </font>
    <font>
      <sz val="12"/>
      <color theme="1"/>
      <name val="宋体"/>
      <family val="3"/>
      <charset val="134"/>
      <scheme val="minor"/>
    </font>
    <font>
      <sz val="11"/>
      <color theme="4" tint="-0.249977111117893"/>
      <name val="等线"/>
      <family val="1"/>
      <charset val="134"/>
    </font>
    <font>
      <b/>
      <sz val="9"/>
      <color theme="1"/>
      <name val="微软雅黑"/>
      <family val="2"/>
      <charset val="134"/>
    </font>
    <font>
      <b/>
      <sz val="9"/>
      <color theme="0"/>
      <name val="微软雅黑"/>
      <family val="2"/>
      <charset val="134"/>
    </font>
    <font>
      <b/>
      <sz val="9"/>
      <name val="微软雅黑"/>
      <family val="2"/>
      <charset val="134"/>
    </font>
    <font>
      <sz val="9"/>
      <color theme="1"/>
      <name val="Arial"/>
      <family val="2"/>
    </font>
    <font>
      <b/>
      <sz val="9"/>
      <color theme="0"/>
      <name val="Arial"/>
      <family val="2"/>
    </font>
    <font>
      <b/>
      <sz val="9"/>
      <color theme="1"/>
      <name val="Arial"/>
      <family val="2"/>
    </font>
    <font>
      <sz val="9"/>
      <name val="Arial"/>
      <family val="2"/>
    </font>
    <font>
      <b/>
      <sz val="9"/>
      <name val="Arial"/>
      <family val="2"/>
    </font>
    <font>
      <sz val="9"/>
      <color rgb="FF000000"/>
      <name val="微软雅黑"/>
      <family val="2"/>
      <charset val="134"/>
    </font>
    <font>
      <sz val="9"/>
      <color rgb="FF59C3F1"/>
      <name val="Arial"/>
      <family val="2"/>
    </font>
    <font>
      <sz val="9"/>
      <color rgb="FF00B0F0"/>
      <name val="Arial"/>
      <family val="2"/>
    </font>
    <font>
      <sz val="9"/>
      <color rgb="FF000000"/>
      <name val="Arial"/>
      <family val="2"/>
    </font>
    <font>
      <sz val="9"/>
      <color rgb="FF78B0E2"/>
      <name val="Arial"/>
      <family val="2"/>
    </font>
    <font>
      <sz val="8"/>
      <color theme="1"/>
      <name val="Arial"/>
      <family val="2"/>
    </font>
    <font>
      <sz val="8"/>
      <color theme="1"/>
      <name val="微软雅黑"/>
      <family val="2"/>
      <charset val="134"/>
    </font>
    <font>
      <sz val="8"/>
      <name val="Arial"/>
      <family val="2"/>
    </font>
    <font>
      <sz val="8"/>
      <name val="微软雅黑"/>
      <family val="2"/>
      <charset val="134"/>
    </font>
    <font>
      <b/>
      <sz val="9"/>
      <color rgb="FF000000"/>
      <name val="微软雅黑"/>
      <family val="2"/>
      <charset val="134"/>
    </font>
    <font>
      <b/>
      <sz val="9"/>
      <color rgb="FF000000"/>
      <name val="Arial"/>
      <family val="2"/>
    </font>
    <font>
      <u/>
      <sz val="2"/>
      <color rgb="FF800080"/>
      <name val="Arial"/>
      <family val="2"/>
    </font>
    <font>
      <sz val="2"/>
      <color rgb="FF000000"/>
      <name val="Arial"/>
      <family val="2"/>
    </font>
    <font>
      <sz val="12"/>
      <color rgb="FF000000"/>
      <name val="Arial"/>
      <family val="2"/>
    </font>
    <font>
      <sz val="9"/>
      <color rgb="FFFF0000"/>
      <name val="Arial"/>
      <family val="2"/>
    </font>
    <font>
      <sz val="8"/>
      <color theme="1"/>
      <name val="Arial"/>
      <family val="2"/>
      <charset val="134"/>
    </font>
    <font>
      <sz val="11"/>
      <color theme="1"/>
      <name val="Arial"/>
      <family val="2"/>
    </font>
    <font>
      <sz val="10"/>
      <color theme="1"/>
      <name val="Arial"/>
      <family val="2"/>
    </font>
    <font>
      <b/>
      <sz val="9"/>
      <color theme="0"/>
      <name val="宋体"/>
      <family val="2"/>
      <charset val="134"/>
    </font>
    <font>
      <u/>
      <sz val="9"/>
      <color rgb="FF0000FF"/>
      <name val="Arial"/>
      <family val="2"/>
    </font>
    <font>
      <b/>
      <sz val="9"/>
      <color rgb="FFC00000"/>
      <name val="微软雅黑"/>
      <family val="2"/>
      <charset val="134"/>
    </font>
    <font>
      <sz val="11"/>
      <color theme="4" tint="-0.249977111117893"/>
      <name val="楷体_GB2312"/>
      <family val="3"/>
      <charset val="134"/>
    </font>
    <font>
      <b/>
      <sz val="9"/>
      <color rgb="FFC00000"/>
      <name val="Arial"/>
      <family val="2"/>
    </font>
    <font>
      <b/>
      <sz val="8"/>
      <color theme="1"/>
      <name val="Arial"/>
      <family val="2"/>
    </font>
    <font>
      <sz val="18"/>
      <color theme="1"/>
      <name val="楷体_GB2312"/>
      <family val="3"/>
      <charset val="134"/>
    </font>
    <font>
      <sz val="9"/>
      <color theme="1"/>
      <name val="宋体"/>
      <family val="2"/>
      <charset val="134"/>
    </font>
    <font>
      <u/>
      <sz val="9"/>
      <color rgb="FF800080"/>
      <name val="Arial"/>
      <family val="2"/>
    </font>
    <font>
      <sz val="8"/>
      <color theme="0"/>
      <name val="Arial"/>
      <family val="2"/>
    </font>
    <font>
      <sz val="9"/>
      <color theme="0"/>
      <name val="Arial"/>
      <family val="2"/>
    </font>
    <font>
      <sz val="10"/>
      <color theme="1"/>
      <name val="楷体_GB2312"/>
      <family val="3"/>
      <charset val="134"/>
    </font>
    <font>
      <b/>
      <sz val="11"/>
      <color theme="0"/>
      <name val="Arial"/>
      <family val="2"/>
    </font>
    <font>
      <b/>
      <sz val="11"/>
      <color theme="0"/>
      <name val="楷体_GB2312"/>
      <family val="3"/>
      <charset val="134"/>
    </font>
    <font>
      <b/>
      <sz val="9"/>
      <color theme="0"/>
      <name val="等线"/>
      <family val="2"/>
      <charset val="134"/>
    </font>
    <font>
      <b/>
      <sz val="9"/>
      <color theme="0"/>
      <name val="Arial"/>
      <family val="2"/>
      <charset val="134"/>
    </font>
    <font>
      <b/>
      <sz val="14"/>
      <name val="宋体"/>
      <family val="3"/>
      <charset val="134"/>
    </font>
    <font>
      <b/>
      <sz val="10.5"/>
      <name val="宋体"/>
      <family val="3"/>
      <charset val="134"/>
    </font>
  </fonts>
  <fills count="14">
    <fill>
      <patternFill patternType="none"/>
    </fill>
    <fill>
      <patternFill patternType="gray125"/>
    </fill>
    <fill>
      <patternFill patternType="solid">
        <fgColor theme="0"/>
        <bgColor indexed="64"/>
      </patternFill>
    </fill>
    <fill>
      <patternFill patternType="solid">
        <fgColor theme="4" tint="0.79949339274269848"/>
        <bgColor indexed="64"/>
      </patternFill>
    </fill>
    <fill>
      <patternFill patternType="solid">
        <fgColor rgb="FF004E97"/>
        <bgColor indexed="64"/>
      </patternFill>
    </fill>
    <fill>
      <patternFill patternType="solid">
        <fgColor theme="2" tint="-9.9978637043366805E-2"/>
        <bgColor indexed="64"/>
      </patternFill>
    </fill>
    <fill>
      <patternFill patternType="solid">
        <fgColor rgb="FFFFFFCC"/>
        <bgColor indexed="64"/>
      </patternFill>
    </fill>
    <fill>
      <patternFill patternType="solid">
        <fgColor rgb="FF78B0E2"/>
        <bgColor indexed="64"/>
      </patternFill>
    </fill>
    <fill>
      <patternFill patternType="solid">
        <fgColor rgb="FF4B5F9E"/>
        <bgColor indexed="64"/>
      </patternFill>
    </fill>
    <fill>
      <patternFill patternType="solid">
        <fgColor rgb="FF4A61A0"/>
        <bgColor indexed="64"/>
      </patternFill>
    </fill>
    <fill>
      <patternFill patternType="solid">
        <fgColor rgb="FFFEEAA0"/>
        <bgColor indexed="64"/>
      </patternFill>
    </fill>
    <fill>
      <patternFill patternType="solid">
        <fgColor theme="0" tint="-4.9989318521683403E-2"/>
        <bgColor indexed="64"/>
      </patternFill>
    </fill>
    <fill>
      <patternFill patternType="solid">
        <fgColor rgb="FFD9E9F7"/>
        <bgColor indexed="64"/>
      </patternFill>
    </fill>
    <fill>
      <patternFill patternType="solid">
        <fgColor indexed="9"/>
        <bgColor indexed="64"/>
      </patternFill>
    </fill>
  </fills>
  <borders count="2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style="thin">
        <color theme="0" tint="-0.14951017792291024"/>
      </left>
      <right style="thin">
        <color theme="0" tint="-0.14951017792291024"/>
      </right>
      <top style="thin">
        <color theme="0" tint="-0.14951017792291024"/>
      </top>
      <bottom style="thin">
        <color theme="0" tint="-0.14951017792291024"/>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thin">
        <color theme="0"/>
      </top>
      <bottom/>
      <diagonal/>
    </border>
    <border>
      <left/>
      <right/>
      <top style="thin">
        <color theme="0"/>
      </top>
      <bottom style="medium">
        <color theme="0"/>
      </bottom>
      <diagonal/>
    </border>
    <border>
      <left/>
      <right style="medium">
        <color theme="0"/>
      </right>
      <top style="thin">
        <color theme="0"/>
      </top>
      <bottom style="medium">
        <color theme="0"/>
      </bottom>
      <diagonal/>
    </border>
    <border>
      <left/>
      <right style="medium">
        <color theme="0"/>
      </right>
      <top/>
      <bottom/>
      <diagonal/>
    </border>
    <border>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thin">
        <color theme="0" tint="-0.14951017792291024"/>
      </bottom>
      <diagonal/>
    </border>
    <border>
      <left style="thin">
        <color theme="0" tint="-0.14951017792291024"/>
      </left>
      <right/>
      <top/>
      <bottom/>
      <diagonal/>
    </border>
    <border>
      <left style="thin">
        <color rgb="FFB2B2B2"/>
      </left>
      <right style="thin">
        <color rgb="FFB2B2B2"/>
      </right>
      <top style="thin">
        <color rgb="FFB2B2B2"/>
      </top>
      <bottom style="thin">
        <color rgb="FFB2B2B2"/>
      </bottom>
      <diagonal/>
    </border>
    <border>
      <left/>
      <right style="thin">
        <color theme="0" tint="-4.9989318521683403E-2"/>
      </right>
      <top style="thin">
        <color theme="0" tint="-4.9989318521683403E-2"/>
      </top>
      <bottom style="thin">
        <color theme="0" tint="-4.9989318521683403E-2"/>
      </bottom>
      <diagonal/>
    </border>
    <border>
      <left style="thin">
        <color theme="0" tint="-0.14951017792291024"/>
      </left>
      <right style="thin">
        <color theme="0" tint="-0.14951017792291024"/>
      </right>
      <top/>
      <bottom style="thin">
        <color theme="0" tint="-0.14951017792291024"/>
      </bottom>
      <diagonal/>
    </border>
    <border>
      <left/>
      <right style="medium">
        <color rgb="FF004E97"/>
      </right>
      <top style="medium">
        <color rgb="FF004E97"/>
      </top>
      <bottom style="medium">
        <color rgb="FF004E97"/>
      </bottom>
      <diagonal/>
    </border>
    <border>
      <left/>
      <right/>
      <top style="medium">
        <color rgb="FF004E97"/>
      </top>
      <bottom style="medium">
        <color rgb="FF004E97"/>
      </bottom>
      <diagonal/>
    </border>
    <border>
      <left/>
      <right style="medium">
        <color rgb="FF004E97"/>
      </right>
      <top/>
      <bottom/>
      <diagonal/>
    </border>
    <border>
      <left/>
      <right/>
      <top/>
      <bottom style="medium">
        <color rgb="FF004E97"/>
      </bottom>
      <diagonal/>
    </border>
    <border>
      <left/>
      <right/>
      <top style="medium">
        <color rgb="FF004E97"/>
      </top>
      <bottom/>
      <diagonal/>
    </border>
    <border>
      <left/>
      <right style="medium">
        <color rgb="FF004E97"/>
      </right>
      <top/>
      <bottom style="medium">
        <color rgb="FF004E97"/>
      </bottom>
      <diagonal/>
    </border>
    <border>
      <left style="medium">
        <color rgb="FF004E97"/>
      </left>
      <right/>
      <top/>
      <bottom style="medium">
        <color rgb="FF004E97"/>
      </bottom>
      <diagonal/>
    </border>
    <border>
      <left style="medium">
        <color rgb="FF004E97"/>
      </left>
      <right/>
      <top/>
      <bottom/>
      <diagonal/>
    </border>
    <border>
      <left/>
      <right style="medium">
        <color rgb="FF004E97"/>
      </right>
      <top style="medium">
        <color rgb="FF004E97"/>
      </top>
      <bottom/>
      <diagonal/>
    </border>
    <border>
      <left style="medium">
        <color rgb="FF004E97"/>
      </left>
      <right/>
      <top style="medium">
        <color rgb="FF004E97"/>
      </top>
      <bottom/>
      <diagonal/>
    </border>
  </borders>
  <cellStyleXfs count="21">
    <xf numFmtId="0" fontId="0" fillId="0" borderId="0">
      <alignment vertical="center"/>
    </xf>
    <xf numFmtId="9" fontId="12" fillId="0" borderId="0" applyFont="0" applyFill="0" applyBorder="0" applyAlignment="0" applyProtection="0">
      <alignment vertical="center"/>
    </xf>
    <xf numFmtId="0" fontId="1" fillId="0" borderId="0" applyNumberFormat="0" applyFill="0" applyBorder="0" applyAlignment="0" applyProtection="0">
      <alignment vertical="top"/>
      <protection locked="0"/>
    </xf>
    <xf numFmtId="0" fontId="13"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4" fillId="0" borderId="0">
      <alignment vertical="center"/>
    </xf>
    <xf numFmtId="0" fontId="14" fillId="0" borderId="0">
      <alignment vertical="center"/>
    </xf>
    <xf numFmtId="176" fontId="12" fillId="0" borderId="0" applyFont="0" applyFill="0" applyBorder="0" applyAlignment="0" applyProtection="0"/>
    <xf numFmtId="0" fontId="12" fillId="6" borderId="15" applyNumberFormat="0" applyFont="0" applyAlignment="0" applyProtection="0">
      <alignment vertical="center"/>
    </xf>
    <xf numFmtId="0" fontId="18" fillId="0" borderId="0">
      <alignment vertical="center"/>
    </xf>
    <xf numFmtId="0" fontId="20" fillId="0" borderId="0">
      <alignment vertical="center"/>
    </xf>
    <xf numFmtId="9" fontId="18" fillId="0" borderId="0" applyFont="0" applyFill="0" applyBorder="0" applyAlignment="0" applyProtection="0">
      <alignment vertical="center"/>
    </xf>
    <xf numFmtId="0" fontId="22" fillId="0" borderId="0">
      <alignment vertical="center"/>
    </xf>
  </cellStyleXfs>
  <cellXfs count="280">
    <xf numFmtId="0" fontId="0" fillId="0" borderId="0" xfId="0">
      <alignment vertical="center"/>
    </xf>
    <xf numFmtId="0" fontId="5"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27" fillId="0" borderId="0" xfId="0" applyFont="1" applyAlignment="1">
      <alignment vertical="center" wrapText="1"/>
    </xf>
    <xf numFmtId="0" fontId="28" fillId="7" borderId="1" xfId="13" applyFont="1" applyFill="1" applyBorder="1" applyAlignment="1">
      <alignment horizontal="center" vertical="center" wrapText="1"/>
    </xf>
    <xf numFmtId="0" fontId="28" fillId="8" borderId="1" xfId="13" applyFont="1" applyFill="1" applyBorder="1" applyAlignment="1">
      <alignment horizontal="center" vertical="center" wrapText="1"/>
    </xf>
    <xf numFmtId="3" fontId="33" fillId="0" borderId="0" xfId="0" applyNumberFormat="1" applyFont="1" applyAlignment="1">
      <alignment horizontal="center" vertical="center"/>
    </xf>
    <xf numFmtId="3" fontId="27" fillId="2" borderId="0" xfId="13" applyNumberFormat="1" applyFont="1" applyFill="1" applyAlignment="1">
      <alignment horizontal="center" vertical="center"/>
    </xf>
    <xf numFmtId="3" fontId="28" fillId="9" borderId="0" xfId="13" applyNumberFormat="1" applyFont="1" applyFill="1" applyAlignment="1">
      <alignment horizontal="center" vertical="center"/>
    </xf>
    <xf numFmtId="3" fontId="27" fillId="0" borderId="0" xfId="0" applyNumberFormat="1" applyFont="1" applyAlignment="1">
      <alignment horizontal="center" vertical="center"/>
    </xf>
    <xf numFmtId="9" fontId="27" fillId="0" borderId="0" xfId="1" applyFont="1" applyBorder="1" applyAlignment="1">
      <alignment horizontal="center" vertical="center"/>
    </xf>
    <xf numFmtId="9" fontId="29" fillId="0" borderId="0" xfId="1" applyFont="1" applyBorder="1" applyAlignment="1">
      <alignment horizontal="center" vertical="center"/>
    </xf>
    <xf numFmtId="3" fontId="30" fillId="0" borderId="0" xfId="0" applyNumberFormat="1" applyFont="1" applyAlignment="1">
      <alignment horizontal="center" vertical="center"/>
    </xf>
    <xf numFmtId="3" fontId="35" fillId="0" borderId="0" xfId="0" applyNumberFormat="1" applyFont="1" applyAlignment="1">
      <alignment horizontal="center" vertical="center"/>
    </xf>
    <xf numFmtId="3" fontId="27" fillId="11" borderId="0" xfId="13" applyNumberFormat="1" applyFont="1" applyFill="1" applyAlignment="1">
      <alignment horizontal="center" vertical="center"/>
    </xf>
    <xf numFmtId="179" fontId="29" fillId="0" borderId="0" xfId="0" applyNumberFormat="1" applyFont="1" applyAlignment="1">
      <alignment horizontal="center" vertical="center"/>
    </xf>
    <xf numFmtId="193" fontId="30" fillId="0" borderId="0" xfId="0" applyNumberFormat="1" applyFont="1" applyAlignment="1">
      <alignment horizontal="center" vertical="center"/>
    </xf>
    <xf numFmtId="193" fontId="30" fillId="0" borderId="0" xfId="0" applyNumberFormat="1" applyFont="1" applyAlignment="1">
      <alignment horizontal="center" vertical="center" wrapText="1"/>
    </xf>
    <xf numFmtId="183" fontId="30" fillId="0" borderId="0" xfId="1" applyNumberFormat="1" applyFont="1" applyBorder="1" applyAlignment="1">
      <alignment horizontal="center" vertical="center"/>
    </xf>
    <xf numFmtId="193" fontId="35" fillId="0" borderId="0" xfId="0" applyNumberFormat="1" applyFont="1" applyAlignment="1">
      <alignment horizontal="center" vertical="center"/>
    </xf>
    <xf numFmtId="3" fontId="39" fillId="0" borderId="0" xfId="0" applyNumberFormat="1" applyFont="1" applyAlignment="1">
      <alignment horizontal="left" vertical="center"/>
    </xf>
    <xf numFmtId="3" fontId="42" fillId="0" borderId="0" xfId="0" applyNumberFormat="1" applyFont="1" applyAlignment="1">
      <alignment horizontal="center" vertical="center"/>
    </xf>
    <xf numFmtId="3" fontId="27" fillId="0" borderId="0" xfId="0" applyNumberFormat="1" applyFont="1" applyAlignment="1">
      <alignment horizontal="center" vertical="center" wrapText="1"/>
    </xf>
    <xf numFmtId="9" fontId="35" fillId="0" borderId="0" xfId="1" applyFont="1" applyFill="1" applyBorder="1" applyAlignment="1">
      <alignment horizontal="center" vertical="center"/>
    </xf>
    <xf numFmtId="9" fontId="27" fillId="0" borderId="0" xfId="1" applyFont="1" applyFill="1" applyBorder="1" applyAlignment="1">
      <alignment horizontal="center" vertical="center"/>
    </xf>
    <xf numFmtId="3" fontId="35" fillId="0" borderId="0" xfId="1" applyNumberFormat="1" applyFont="1" applyFill="1" applyBorder="1" applyAlignment="1" applyProtection="1">
      <alignment horizontal="center" vertical="center"/>
    </xf>
    <xf numFmtId="184" fontId="35" fillId="0" borderId="0" xfId="1" applyNumberFormat="1" applyFont="1" applyFill="1" applyBorder="1" applyAlignment="1">
      <alignment horizontal="center" vertical="center"/>
    </xf>
    <xf numFmtId="3" fontId="31" fillId="0" borderId="0" xfId="0" applyNumberFormat="1" applyFont="1" applyAlignment="1">
      <alignment horizontal="center" vertical="center"/>
    </xf>
    <xf numFmtId="0" fontId="43" fillId="0" borderId="0" xfId="2" applyFont="1" applyFill="1" applyBorder="1" applyAlignment="1" applyProtection="1">
      <alignment vertical="center" wrapText="1"/>
    </xf>
    <xf numFmtId="3" fontId="44" fillId="0" borderId="0" xfId="0" applyNumberFormat="1" applyFont="1" applyAlignment="1">
      <alignment vertical="center" wrapText="1"/>
    </xf>
    <xf numFmtId="0" fontId="45" fillId="0" borderId="0" xfId="0" applyFont="1" applyAlignment="1">
      <alignment vertical="center" wrapText="1"/>
    </xf>
    <xf numFmtId="3" fontId="45" fillId="0" borderId="0" xfId="0" applyNumberFormat="1" applyFont="1" applyAlignment="1">
      <alignment vertical="center" wrapText="1"/>
    </xf>
    <xf numFmtId="0" fontId="45" fillId="0" borderId="0" xfId="0" applyFont="1" applyAlignment="1">
      <alignment horizontal="center" vertical="center" wrapText="1"/>
    </xf>
    <xf numFmtId="3" fontId="35" fillId="0" borderId="0" xfId="0" applyNumberFormat="1" applyFont="1" applyAlignment="1">
      <alignment horizontal="center" vertical="center" wrapText="1"/>
    </xf>
    <xf numFmtId="0" fontId="33" fillId="0" borderId="0" xfId="0" applyFont="1" applyAlignment="1">
      <alignment horizontal="center" vertical="center"/>
    </xf>
    <xf numFmtId="3" fontId="27" fillId="0" borderId="0" xfId="13" applyNumberFormat="1" applyFont="1" applyAlignment="1">
      <alignment horizontal="center" vertical="center"/>
    </xf>
    <xf numFmtId="3" fontId="38" fillId="0" borderId="0" xfId="0" applyNumberFormat="1" applyFont="1" applyAlignment="1">
      <alignment horizontal="left" vertical="center"/>
    </xf>
    <xf numFmtId="3" fontId="28" fillId="9" borderId="0" xfId="0" applyNumberFormat="1" applyFont="1" applyFill="1" applyAlignment="1">
      <alignment horizontal="center" vertical="center"/>
    </xf>
    <xf numFmtId="182" fontId="28" fillId="9" borderId="0" xfId="0" applyNumberFormat="1" applyFont="1" applyFill="1" applyAlignment="1">
      <alignment horizontal="center" vertical="center"/>
    </xf>
    <xf numFmtId="0" fontId="27" fillId="0" borderId="0" xfId="7" applyFont="1" applyAlignment="1">
      <alignment horizontal="center" vertical="center"/>
    </xf>
    <xf numFmtId="189" fontId="27" fillId="0" borderId="0" xfId="0" applyNumberFormat="1" applyFont="1" applyAlignment="1">
      <alignment horizontal="right" vertical="center"/>
    </xf>
    <xf numFmtId="190" fontId="27" fillId="0" borderId="0" xfId="0" applyNumberFormat="1" applyFont="1" applyAlignment="1">
      <alignment horizontal="right" vertical="center"/>
    </xf>
    <xf numFmtId="185" fontId="27" fillId="0" borderId="0" xfId="0" applyNumberFormat="1" applyFont="1" applyAlignment="1">
      <alignment horizontal="right" vertical="center"/>
    </xf>
    <xf numFmtId="183" fontId="27" fillId="0" borderId="0" xfId="1" applyNumberFormat="1" applyFont="1" applyAlignment="1">
      <alignment horizontal="right" vertical="center"/>
    </xf>
    <xf numFmtId="185" fontId="27" fillId="0" borderId="0" xfId="0" applyNumberFormat="1" applyFont="1" applyAlignment="1">
      <alignment horizontal="center" vertical="center"/>
    </xf>
    <xf numFmtId="0" fontId="27" fillId="0" borderId="0" xfId="0" applyFont="1" applyAlignment="1">
      <alignment horizontal="center" vertical="center"/>
    </xf>
    <xf numFmtId="180" fontId="27" fillId="0" borderId="0" xfId="0" applyNumberFormat="1" applyFont="1" applyAlignment="1">
      <alignment horizontal="right" vertical="center"/>
    </xf>
    <xf numFmtId="0" fontId="31" fillId="0" borderId="2" xfId="13" applyFont="1" applyBorder="1" applyAlignment="1">
      <alignment horizontal="center" vertical="center"/>
    </xf>
    <xf numFmtId="185" fontId="29" fillId="0" borderId="0" xfId="0" applyNumberFormat="1" applyFont="1" applyAlignment="1">
      <alignment horizontal="center" vertical="center"/>
    </xf>
    <xf numFmtId="0" fontId="29" fillId="0" borderId="0" xfId="7" applyFont="1" applyAlignment="1">
      <alignment horizontal="center" vertical="center"/>
    </xf>
    <xf numFmtId="0" fontId="48" fillId="0" borderId="0" xfId="0" applyFont="1" applyAlignment="1">
      <alignment horizontal="center" vertical="center"/>
    </xf>
    <xf numFmtId="177" fontId="48" fillId="0" borderId="0" xfId="0" applyNumberFormat="1" applyFont="1" applyAlignment="1">
      <alignment horizontal="center" vertical="center"/>
    </xf>
    <xf numFmtId="0" fontId="28" fillId="8" borderId="16" xfId="13" applyFont="1" applyFill="1" applyBorder="1" applyAlignment="1">
      <alignment horizontal="center" vertical="center" wrapText="1"/>
    </xf>
    <xf numFmtId="0" fontId="28" fillId="9" borderId="0" xfId="7" applyFont="1" applyFill="1" applyAlignment="1">
      <alignment horizontal="center" vertical="center"/>
    </xf>
    <xf numFmtId="189" fontId="28" fillId="9" borderId="0" xfId="0" applyNumberFormat="1" applyFont="1" applyFill="1" applyAlignment="1">
      <alignment horizontal="center" vertical="center"/>
    </xf>
    <xf numFmtId="179" fontId="27" fillId="0" borderId="0" xfId="0" applyNumberFormat="1" applyFont="1" applyAlignment="1">
      <alignment horizontal="right" vertical="center"/>
    </xf>
    <xf numFmtId="0" fontId="27" fillId="11" borderId="0" xfId="7" applyFont="1" applyFill="1" applyAlignment="1">
      <alignment horizontal="center" vertical="center"/>
    </xf>
    <xf numFmtId="0" fontId="30" fillId="11" borderId="0" xfId="7" applyFont="1" applyFill="1" applyAlignment="1">
      <alignment horizontal="center" vertical="center"/>
    </xf>
    <xf numFmtId="183" fontId="39" fillId="11" borderId="0" xfId="1" applyNumberFormat="1" applyFont="1" applyFill="1" applyAlignment="1">
      <alignment horizontal="right" vertical="center"/>
    </xf>
    <xf numFmtId="0" fontId="24" fillId="12" borderId="0" xfId="0" applyFont="1" applyFill="1" applyAlignment="1">
      <alignment horizontal="center" vertical="center"/>
    </xf>
    <xf numFmtId="183" fontId="30" fillId="12" borderId="0" xfId="1" applyNumberFormat="1" applyFont="1" applyFill="1" applyBorder="1" applyAlignment="1">
      <alignment vertical="center"/>
    </xf>
    <xf numFmtId="0" fontId="30" fillId="0" borderId="0" xfId="13" applyFont="1" applyAlignment="1">
      <alignment horizontal="right" vertical="center"/>
    </xf>
    <xf numFmtId="183" fontId="37" fillId="11" borderId="0" xfId="1" applyNumberFormat="1" applyFont="1" applyFill="1" applyAlignment="1">
      <alignment horizontal="right" vertical="center"/>
    </xf>
    <xf numFmtId="183" fontId="37" fillId="11" borderId="0" xfId="1" applyNumberFormat="1" applyFont="1" applyFill="1" applyAlignment="1">
      <alignment vertical="center"/>
    </xf>
    <xf numFmtId="0" fontId="25" fillId="9" borderId="0" xfId="7" applyFont="1" applyFill="1" applyAlignment="1">
      <alignment horizontal="center" vertical="center"/>
    </xf>
    <xf numFmtId="0" fontId="38" fillId="0" borderId="0" xfId="0" applyFont="1" applyAlignment="1">
      <alignment horizontal="left" vertical="center"/>
    </xf>
    <xf numFmtId="0" fontId="28" fillId="9" borderId="0" xfId="8" applyFont="1" applyFill="1" applyAlignment="1">
      <alignment horizontal="center" vertical="center"/>
    </xf>
    <xf numFmtId="0" fontId="27" fillId="0" borderId="17" xfId="8" applyFont="1" applyBorder="1" applyAlignment="1">
      <alignment horizontal="center" vertical="center"/>
    </xf>
    <xf numFmtId="178" fontId="27" fillId="0" borderId="17" xfId="8" applyNumberFormat="1" applyFont="1" applyBorder="1" applyAlignment="1">
      <alignment horizontal="center" vertical="center"/>
    </xf>
    <xf numFmtId="183" fontId="30" fillId="0" borderId="17" xfId="4" applyNumberFormat="1" applyFont="1" applyBorder="1" applyAlignment="1">
      <alignment horizontal="center" vertical="center"/>
    </xf>
    <xf numFmtId="183" fontId="27" fillId="2" borderId="17" xfId="4" applyNumberFormat="1" applyFont="1" applyFill="1" applyBorder="1" applyAlignment="1">
      <alignment horizontal="center" vertical="center"/>
    </xf>
    <xf numFmtId="0" fontId="27" fillId="0" borderId="3" xfId="8" applyFont="1" applyBorder="1" applyAlignment="1">
      <alignment horizontal="center" vertical="center"/>
    </xf>
    <xf numFmtId="178" fontId="27" fillId="0" borderId="3" xfId="8" applyNumberFormat="1" applyFont="1" applyBorder="1" applyAlignment="1">
      <alignment horizontal="center" vertical="center"/>
    </xf>
    <xf numFmtId="183" fontId="30" fillId="0" borderId="3" xfId="4" applyNumberFormat="1" applyFont="1" applyBorder="1" applyAlignment="1">
      <alignment horizontal="center" vertical="center"/>
    </xf>
    <xf numFmtId="183" fontId="27" fillId="2" borderId="3" xfId="4" applyNumberFormat="1" applyFont="1" applyFill="1" applyBorder="1" applyAlignment="1">
      <alignment horizontal="center" vertical="center"/>
    </xf>
    <xf numFmtId="183" fontId="30" fillId="2" borderId="3" xfId="8" applyNumberFormat="1" applyFont="1" applyFill="1" applyBorder="1" applyAlignment="1">
      <alignment horizontal="center" vertical="center"/>
    </xf>
    <xf numFmtId="0" fontId="51" fillId="0" borderId="0" xfId="2" applyFont="1" applyAlignment="1" applyProtection="1">
      <alignment vertical="center"/>
    </xf>
    <xf numFmtId="0" fontId="53" fillId="0" borderId="0" xfId="0" applyFont="1" applyAlignment="1" applyProtection="1">
      <alignment horizontal="center" vertical="center"/>
      <protection locked="0"/>
    </xf>
    <xf numFmtId="0" fontId="27" fillId="9" borderId="0" xfId="17" applyFont="1" applyFill="1" applyAlignment="1">
      <alignment horizontal="center" vertical="center"/>
    </xf>
    <xf numFmtId="0" fontId="54" fillId="2" borderId="0" xfId="17" applyFont="1" applyFill="1" applyAlignment="1">
      <alignment horizontal="center" vertical="center"/>
    </xf>
    <xf numFmtId="0" fontId="27" fillId="2" borderId="0" xfId="17" applyFont="1" applyFill="1" applyAlignment="1">
      <alignment horizontal="center" vertical="center"/>
    </xf>
    <xf numFmtId="0" fontId="31" fillId="12" borderId="0" xfId="20" applyFont="1" applyFill="1" applyAlignment="1">
      <alignment horizontal="center" vertical="center"/>
    </xf>
    <xf numFmtId="0" fontId="27" fillId="0" borderId="0" xfId="20" applyFont="1" applyAlignment="1">
      <alignment horizontal="center" vertical="center"/>
    </xf>
    <xf numFmtId="193" fontId="27" fillId="0" borderId="0" xfId="20" applyNumberFormat="1" applyFont="1" applyAlignment="1">
      <alignment horizontal="center" vertical="center"/>
    </xf>
    <xf numFmtId="193" fontId="29" fillId="0" borderId="0" xfId="20" applyNumberFormat="1" applyFont="1" applyAlignment="1">
      <alignment horizontal="center" vertical="center"/>
    </xf>
    <xf numFmtId="0" fontId="27" fillId="11" borderId="0" xfId="18" applyFont="1" applyFill="1" applyAlignment="1">
      <alignment horizontal="center" vertical="center"/>
    </xf>
    <xf numFmtId="183" fontId="37" fillId="11" borderId="0" xfId="19" applyNumberFormat="1" applyFont="1" applyFill="1" applyBorder="1" applyAlignment="1">
      <alignment horizontal="center" vertical="center"/>
    </xf>
    <xf numFmtId="183" fontId="55" fillId="11" borderId="0" xfId="19" applyNumberFormat="1" applyFont="1" applyFill="1" applyBorder="1" applyAlignment="1">
      <alignment horizontal="center" vertical="center"/>
    </xf>
    <xf numFmtId="9" fontId="27" fillId="0" borderId="0" xfId="20" applyNumberFormat="1" applyFont="1" applyAlignment="1">
      <alignment horizontal="center" vertical="center"/>
    </xf>
    <xf numFmtId="9" fontId="29" fillId="0" borderId="0" xfId="20" applyNumberFormat="1" applyFont="1" applyAlignment="1">
      <alignment horizontal="center" vertical="center"/>
    </xf>
    <xf numFmtId="0" fontId="27" fillId="0" borderId="0" xfId="17" applyFont="1" applyAlignment="1">
      <alignment horizontal="center" vertical="center"/>
    </xf>
    <xf numFmtId="0" fontId="27" fillId="0" borderId="0" xfId="18" applyFont="1" applyAlignment="1">
      <alignment horizontal="center" vertical="center"/>
    </xf>
    <xf numFmtId="183" fontId="27" fillId="0" borderId="0" xfId="19" applyNumberFormat="1" applyFont="1" applyBorder="1" applyAlignment="1">
      <alignment horizontal="center" vertical="center"/>
    </xf>
    <xf numFmtId="0" fontId="27" fillId="9" borderId="0" xfId="18" applyFont="1" applyFill="1" applyAlignment="1">
      <alignment horizontal="center" vertical="center"/>
    </xf>
    <xf numFmtId="183" fontId="27" fillId="9" borderId="0" xfId="19" applyNumberFormat="1" applyFont="1" applyFill="1" applyBorder="1" applyAlignment="1">
      <alignment horizontal="center" vertical="center"/>
    </xf>
    <xf numFmtId="193" fontId="27" fillId="0" borderId="0" xfId="17" applyNumberFormat="1" applyFont="1" applyAlignment="1">
      <alignment horizontal="center" vertical="center"/>
    </xf>
    <xf numFmtId="3" fontId="33" fillId="0" borderId="0" xfId="0" applyNumberFormat="1" applyFont="1" applyAlignment="1">
      <alignment horizontal="right" vertical="center"/>
    </xf>
    <xf numFmtId="9" fontId="27" fillId="0" borderId="0" xfId="1" applyFont="1" applyBorder="1" applyAlignment="1">
      <alignment vertical="center"/>
    </xf>
    <xf numFmtId="193" fontId="27" fillId="0" borderId="0" xfId="0" applyNumberFormat="1" applyFont="1" applyAlignment="1">
      <alignment horizontal="center" vertical="center"/>
    </xf>
    <xf numFmtId="3" fontId="30" fillId="11" borderId="0" xfId="0" applyNumberFormat="1" applyFont="1" applyFill="1" applyAlignment="1">
      <alignment horizontal="center" vertical="center"/>
    </xf>
    <xf numFmtId="193" fontId="30" fillId="11" borderId="0" xfId="0" applyNumberFormat="1" applyFont="1" applyFill="1" applyAlignment="1">
      <alignment horizontal="center" vertical="center"/>
    </xf>
    <xf numFmtId="183" fontId="30" fillId="0" borderId="0" xfId="0" applyNumberFormat="1" applyFont="1" applyAlignment="1">
      <alignment horizontal="center" vertical="center"/>
    </xf>
    <xf numFmtId="3" fontId="30" fillId="11" borderId="0" xfId="2" applyNumberFormat="1" applyFont="1" applyFill="1" applyBorder="1" applyAlignment="1" applyProtection="1">
      <alignment horizontal="center" vertical="center"/>
    </xf>
    <xf numFmtId="183" fontId="30" fillId="11" borderId="0" xfId="0" applyNumberFormat="1" applyFont="1" applyFill="1" applyAlignment="1">
      <alignment horizontal="center" vertical="center"/>
    </xf>
    <xf numFmtId="3" fontId="33" fillId="0" borderId="0" xfId="2" applyNumberFormat="1" applyFont="1" applyBorder="1" applyAlignment="1" applyProtection="1">
      <alignment horizontal="center" vertical="center"/>
    </xf>
    <xf numFmtId="3" fontId="34" fillId="0" borderId="0" xfId="0" applyNumberFormat="1" applyFont="1" applyAlignment="1">
      <alignment horizontal="center" vertical="center"/>
    </xf>
    <xf numFmtId="0" fontId="25" fillId="8" borderId="1" xfId="13" applyFont="1" applyFill="1" applyBorder="1" applyAlignment="1">
      <alignment horizontal="center" vertical="center" wrapText="1"/>
    </xf>
    <xf numFmtId="177" fontId="27" fillId="0" borderId="0" xfId="0" applyNumberFormat="1" applyFont="1" applyAlignment="1">
      <alignment horizontal="center" vertical="center"/>
    </xf>
    <xf numFmtId="178" fontId="29" fillId="0" borderId="0" xfId="0" applyNumberFormat="1" applyFont="1" applyAlignment="1">
      <alignment horizontal="center" vertical="center"/>
    </xf>
    <xf numFmtId="178" fontId="27" fillId="0" borderId="0" xfId="0" applyNumberFormat="1" applyFont="1" applyAlignment="1">
      <alignment horizontal="center" vertical="center"/>
    </xf>
    <xf numFmtId="178" fontId="30" fillId="0" borderId="0" xfId="0" applyNumberFormat="1" applyFont="1" applyAlignment="1">
      <alignment horizontal="center" vertical="center"/>
    </xf>
    <xf numFmtId="178" fontId="31" fillId="0" borderId="0" xfId="0" applyNumberFormat="1" applyFont="1" applyAlignment="1">
      <alignment horizontal="center" vertical="center"/>
    </xf>
    <xf numFmtId="9" fontId="27" fillId="0" borderId="0" xfId="1" applyFont="1" applyAlignment="1">
      <alignment horizontal="center" vertical="center"/>
    </xf>
    <xf numFmtId="177" fontId="27" fillId="10" borderId="0" xfId="0" applyNumberFormat="1" applyFont="1" applyFill="1" applyAlignment="1">
      <alignment horizontal="center" vertical="center"/>
    </xf>
    <xf numFmtId="178" fontId="29" fillId="10" borderId="0" xfId="0" applyNumberFormat="1" applyFont="1" applyFill="1" applyAlignment="1">
      <alignment horizontal="center" vertical="center"/>
    </xf>
    <xf numFmtId="178" fontId="27" fillId="10" borderId="0" xfId="0" applyNumberFormat="1" applyFont="1" applyFill="1" applyAlignment="1">
      <alignment horizontal="center" vertical="center"/>
    </xf>
    <xf numFmtId="178" fontId="30" fillId="10" borderId="0" xfId="0" applyNumberFormat="1" applyFont="1" applyFill="1" applyAlignment="1">
      <alignment horizontal="center" vertical="center"/>
    </xf>
    <xf numFmtId="178" fontId="31" fillId="10" borderId="0" xfId="0" applyNumberFormat="1" applyFont="1" applyFill="1" applyAlignment="1">
      <alignment horizontal="center" vertical="center"/>
    </xf>
    <xf numFmtId="9" fontId="27" fillId="10" borderId="0" xfId="1" applyFont="1" applyFill="1" applyAlignment="1">
      <alignment horizontal="center" vertical="center"/>
    </xf>
    <xf numFmtId="9" fontId="27" fillId="0" borderId="0" xfId="0" applyNumberFormat="1" applyFont="1" applyAlignment="1">
      <alignment horizontal="center" vertical="center"/>
    </xf>
    <xf numFmtId="9" fontId="27" fillId="10" borderId="0" xfId="0" applyNumberFormat="1" applyFont="1" applyFill="1" applyAlignment="1">
      <alignment horizontal="center" vertical="center"/>
    </xf>
    <xf numFmtId="9" fontId="27" fillId="0" borderId="0" xfId="1" applyFont="1" applyFill="1" applyAlignment="1">
      <alignment horizontal="center" vertical="center"/>
    </xf>
    <xf numFmtId="0" fontId="27" fillId="0" borderId="0" xfId="0" applyFont="1" applyAlignment="1">
      <alignment horizontal="center" vertical="center" wrapText="1"/>
    </xf>
    <xf numFmtId="181" fontId="27" fillId="0" borderId="0" xfId="0" applyNumberFormat="1" applyFont="1" applyAlignment="1">
      <alignment horizontal="center" vertical="center"/>
    </xf>
    <xf numFmtId="57" fontId="27" fillId="0" borderId="0" xfId="0" applyNumberFormat="1" applyFont="1" applyAlignment="1">
      <alignment horizontal="center" vertical="center"/>
    </xf>
    <xf numFmtId="0" fontId="29" fillId="0" borderId="0" xfId="0" applyFont="1" applyAlignment="1">
      <alignment horizontal="center" vertical="center"/>
    </xf>
    <xf numFmtId="0" fontId="28" fillId="7" borderId="0" xfId="0" applyFont="1" applyFill="1" applyAlignment="1">
      <alignment horizontal="center" vertical="center"/>
    </xf>
    <xf numFmtId="191" fontId="31" fillId="0" borderId="0" xfId="0" applyNumberFormat="1" applyFont="1" applyAlignment="1">
      <alignment horizontal="right" vertical="center"/>
    </xf>
    <xf numFmtId="0" fontId="31" fillId="0" borderId="0" xfId="0" applyFont="1" applyAlignment="1">
      <alignment horizontal="right" vertical="center"/>
    </xf>
    <xf numFmtId="0" fontId="29" fillId="0" borderId="0" xfId="0" applyFont="1" applyAlignment="1">
      <alignment horizontal="right" vertical="center"/>
    </xf>
    <xf numFmtId="0" fontId="37" fillId="11" borderId="0" xfId="0" applyFont="1" applyFill="1" applyAlignment="1">
      <alignment horizontal="right" vertical="center"/>
    </xf>
    <xf numFmtId="0" fontId="28" fillId="9" borderId="0" xfId="13" applyFont="1" applyFill="1" applyAlignment="1">
      <alignment horizontal="center" vertical="center"/>
    </xf>
    <xf numFmtId="180" fontId="30" fillId="0" borderId="0" xfId="13" applyNumberFormat="1" applyFont="1" applyAlignment="1">
      <alignment horizontal="right" vertical="center"/>
    </xf>
    <xf numFmtId="0" fontId="27" fillId="0" borderId="0" xfId="0" applyFont="1" applyAlignment="1">
      <alignment horizontal="right" vertical="center"/>
    </xf>
    <xf numFmtId="0" fontId="58" fillId="0" borderId="0" xfId="2" applyFont="1" applyAlignment="1" applyProtection="1">
      <alignment vertical="center"/>
    </xf>
    <xf numFmtId="0" fontId="59" fillId="11" borderId="0" xfId="13" applyFont="1" applyFill="1" applyAlignment="1">
      <alignment horizontal="center" vertical="center"/>
    </xf>
    <xf numFmtId="0" fontId="60" fillId="0" borderId="0" xfId="13" applyFont="1" applyAlignment="1">
      <alignment horizontal="center" vertical="center"/>
    </xf>
    <xf numFmtId="188" fontId="27" fillId="0" borderId="0" xfId="0" applyNumberFormat="1" applyFont="1" applyAlignment="1">
      <alignment horizontal="right" vertical="center"/>
    </xf>
    <xf numFmtId="0" fontId="0" fillId="0" borderId="3" xfId="0" applyBorder="1">
      <alignment vertical="center"/>
    </xf>
    <xf numFmtId="0" fontId="0" fillId="0" borderId="14" xfId="0" applyBorder="1">
      <alignment vertical="center"/>
    </xf>
    <xf numFmtId="0" fontId="11" fillId="0" borderId="0" xfId="0" applyFont="1" applyProtection="1">
      <alignment vertical="center"/>
      <protection locked="0"/>
    </xf>
    <xf numFmtId="0" fontId="27" fillId="0" borderId="0" xfId="8" applyFont="1">
      <alignment vertical="center"/>
    </xf>
    <xf numFmtId="0" fontId="28" fillId="9" borderId="0" xfId="8" applyFont="1" applyFill="1">
      <alignment vertical="center"/>
    </xf>
    <xf numFmtId="0" fontId="57" fillId="0" borderId="0" xfId="8" applyFont="1">
      <alignment vertical="center"/>
    </xf>
    <xf numFmtId="181" fontId="27" fillId="0" borderId="0" xfId="8" applyNumberFormat="1" applyFont="1">
      <alignment vertical="center"/>
    </xf>
    <xf numFmtId="2" fontId="27" fillId="0" borderId="0" xfId="8" applyNumberFormat="1" applyFont="1">
      <alignment vertical="center"/>
    </xf>
    <xf numFmtId="0" fontId="27" fillId="0" borderId="0" xfId="0" applyFont="1">
      <alignment vertical="center"/>
    </xf>
    <xf numFmtId="183" fontId="27" fillId="0" borderId="0" xfId="4" applyNumberFormat="1" applyFont="1" applyAlignment="1">
      <alignment vertical="center"/>
    </xf>
    <xf numFmtId="0" fontId="27" fillId="9" borderId="0" xfId="17" applyFont="1" applyFill="1">
      <alignment vertical="center"/>
    </xf>
    <xf numFmtId="0" fontId="27" fillId="2" borderId="0" xfId="17" applyFont="1" applyFill="1">
      <alignment vertical="center"/>
    </xf>
    <xf numFmtId="0" fontId="27" fillId="0" borderId="0" xfId="18" applyFont="1">
      <alignment vertical="center"/>
    </xf>
    <xf numFmtId="0" fontId="27" fillId="0" borderId="0" xfId="17" applyFont="1">
      <alignment vertical="center"/>
    </xf>
    <xf numFmtId="0" fontId="48" fillId="0" borderId="0" xfId="0" applyFont="1">
      <alignment vertical="center"/>
    </xf>
    <xf numFmtId="0" fontId="37" fillId="0" borderId="0" xfId="17" applyFont="1">
      <alignment vertical="center"/>
    </xf>
    <xf numFmtId="183" fontId="27" fillId="0" borderId="0" xfId="19" applyNumberFormat="1" applyFont="1" applyBorder="1" applyAlignment="1">
      <alignment vertical="center"/>
    </xf>
    <xf numFmtId="0" fontId="27" fillId="9" borderId="0" xfId="18" applyFont="1" applyFill="1">
      <alignment vertical="center"/>
    </xf>
    <xf numFmtId="183" fontId="27" fillId="9" borderId="0" xfId="19" applyNumberFormat="1" applyFont="1" applyFill="1" applyBorder="1" applyAlignment="1">
      <alignment vertical="center"/>
    </xf>
    <xf numFmtId="193" fontId="27" fillId="0" borderId="0" xfId="17" applyNumberFormat="1" applyFont="1">
      <alignment vertical="center"/>
    </xf>
    <xf numFmtId="0" fontId="29" fillId="0" borderId="0" xfId="0" applyFont="1">
      <alignment vertical="center"/>
    </xf>
    <xf numFmtId="0" fontId="28" fillId="7" borderId="0" xfId="0" applyFont="1" applyFill="1">
      <alignment vertical="center"/>
    </xf>
    <xf numFmtId="178" fontId="37" fillId="0" borderId="0" xfId="0" applyNumberFormat="1" applyFont="1">
      <alignment vertical="center"/>
    </xf>
    <xf numFmtId="183" fontId="37" fillId="0" borderId="0" xfId="1" applyNumberFormat="1" applyFont="1" applyBorder="1" applyAlignment="1">
      <alignment vertical="center"/>
    </xf>
    <xf numFmtId="183" fontId="37" fillId="0" borderId="0" xfId="0" applyNumberFormat="1" applyFont="1">
      <alignment vertical="center"/>
    </xf>
    <xf numFmtId="0" fontId="27" fillId="11" borderId="0" xfId="0" applyFont="1" applyFill="1" applyAlignment="1">
      <alignment horizontal="right" vertical="center"/>
    </xf>
    <xf numFmtId="178" fontId="37" fillId="11" borderId="0" xfId="0" applyNumberFormat="1" applyFont="1" applyFill="1" applyAlignment="1">
      <alignment horizontal="right" vertical="center"/>
    </xf>
    <xf numFmtId="9" fontId="37" fillId="11" borderId="0" xfId="1" applyFont="1" applyFill="1" applyBorder="1" applyAlignment="1">
      <alignment vertical="center"/>
    </xf>
    <xf numFmtId="179" fontId="29" fillId="0" borderId="0" xfId="0" applyNumberFormat="1" applyFont="1">
      <alignment vertical="center"/>
    </xf>
    <xf numFmtId="178" fontId="29" fillId="0" borderId="0" xfId="0" applyNumberFormat="1" applyFont="1">
      <alignment vertical="center"/>
    </xf>
    <xf numFmtId="179" fontId="37" fillId="0" borderId="0" xfId="0" applyNumberFormat="1" applyFont="1">
      <alignment vertical="center"/>
    </xf>
    <xf numFmtId="179" fontId="29" fillId="0" borderId="0" xfId="0" applyNumberFormat="1" applyFont="1" applyAlignment="1">
      <alignment horizontal="right" vertical="center"/>
    </xf>
    <xf numFmtId="178" fontId="29" fillId="0" borderId="0" xfId="0" applyNumberFormat="1" applyFont="1" applyAlignment="1">
      <alignment horizontal="right" vertical="center"/>
    </xf>
    <xf numFmtId="183" fontId="29" fillId="0" borderId="0" xfId="1" applyNumberFormat="1" applyFont="1" applyBorder="1" applyAlignment="1">
      <alignment vertical="center"/>
    </xf>
    <xf numFmtId="180" fontId="27" fillId="0" borderId="0" xfId="0" applyNumberFormat="1" applyFont="1">
      <alignment vertical="center"/>
    </xf>
    <xf numFmtId="192" fontId="27" fillId="0" borderId="0" xfId="0" applyNumberFormat="1" applyFont="1">
      <alignment vertical="center"/>
    </xf>
    <xf numFmtId="0" fontId="27" fillId="11" borderId="0" xfId="0" applyFont="1" applyFill="1" applyAlignment="1">
      <alignment horizontal="center" vertical="center"/>
    </xf>
    <xf numFmtId="9" fontId="37" fillId="11" borderId="0" xfId="1" applyFont="1" applyFill="1" applyAlignment="1">
      <alignment vertical="center"/>
    </xf>
    <xf numFmtId="180" fontId="27" fillId="0" borderId="0" xfId="1" applyNumberFormat="1" applyFont="1" applyBorder="1" applyAlignment="1">
      <alignment horizontal="right" vertical="center"/>
    </xf>
    <xf numFmtId="0" fontId="46" fillId="0" borderId="0" xfId="0" applyFont="1">
      <alignment vertical="center"/>
    </xf>
    <xf numFmtId="9" fontId="27" fillId="0" borderId="0" xfId="1" applyFont="1" applyAlignment="1">
      <alignment vertical="center"/>
    </xf>
    <xf numFmtId="9" fontId="27" fillId="0" borderId="0" xfId="0" applyNumberFormat="1" applyFont="1">
      <alignment vertical="center"/>
    </xf>
    <xf numFmtId="2" fontId="27" fillId="0" borderId="0" xfId="0" applyNumberFormat="1" applyFont="1">
      <alignment vertical="center"/>
    </xf>
    <xf numFmtId="183" fontId="27" fillId="0" borderId="0" xfId="1" applyNumberFormat="1" applyFont="1" applyAlignment="1">
      <alignment vertical="center"/>
    </xf>
    <xf numFmtId="181" fontId="27" fillId="0" borderId="0" xfId="0" applyNumberFormat="1" applyFont="1">
      <alignment vertical="center"/>
    </xf>
    <xf numFmtId="10" fontId="27" fillId="0" borderId="0" xfId="0" applyNumberFormat="1" applyFont="1">
      <alignment vertical="center"/>
    </xf>
    <xf numFmtId="181" fontId="30" fillId="0" borderId="0" xfId="0" applyNumberFormat="1" applyFont="1">
      <alignment vertical="center"/>
    </xf>
    <xf numFmtId="181" fontId="46" fillId="0" borderId="0" xfId="0" applyNumberFormat="1" applyFont="1">
      <alignment vertical="center"/>
    </xf>
    <xf numFmtId="187" fontId="27" fillId="0" borderId="0" xfId="0" applyNumberFormat="1" applyFont="1">
      <alignment vertical="center"/>
    </xf>
    <xf numFmtId="186" fontId="27" fillId="0" borderId="0" xfId="0" applyNumberFormat="1" applyFont="1">
      <alignment vertical="center"/>
    </xf>
    <xf numFmtId="0" fontId="30" fillId="0" borderId="0" xfId="0" applyFont="1">
      <alignment vertical="center"/>
    </xf>
    <xf numFmtId="177" fontId="27" fillId="0" borderId="0" xfId="0" applyNumberFormat="1" applyFont="1">
      <alignment vertical="center"/>
    </xf>
    <xf numFmtId="0" fontId="27" fillId="12" borderId="0" xfId="0" applyFont="1" applyFill="1">
      <alignment vertical="center"/>
    </xf>
    <xf numFmtId="185" fontId="27" fillId="0" borderId="0" xfId="0" applyNumberFormat="1" applyFont="1">
      <alignment vertical="center"/>
    </xf>
    <xf numFmtId="0" fontId="39" fillId="11" borderId="0" xfId="0" applyFont="1" applyFill="1">
      <alignment vertical="center"/>
    </xf>
    <xf numFmtId="0" fontId="27" fillId="11" borderId="0" xfId="0" applyFont="1" applyFill="1">
      <alignment vertical="center"/>
    </xf>
    <xf numFmtId="179" fontId="27" fillId="0" borderId="0" xfId="0" applyNumberFormat="1" applyFont="1">
      <alignment vertical="center"/>
    </xf>
    <xf numFmtId="190" fontId="37" fillId="11" borderId="0" xfId="0" applyNumberFormat="1" applyFont="1" applyFill="1">
      <alignment vertical="center"/>
    </xf>
    <xf numFmtId="183" fontId="27" fillId="0" borderId="0" xfId="0" applyNumberFormat="1" applyFont="1">
      <alignment vertical="center"/>
    </xf>
    <xf numFmtId="0" fontId="37" fillId="11" borderId="0" xfId="0" applyFont="1" applyFill="1">
      <alignment vertical="center"/>
    </xf>
    <xf numFmtId="187" fontId="48" fillId="0" borderId="0" xfId="0" applyNumberFormat="1" applyFont="1">
      <alignment vertical="center"/>
    </xf>
    <xf numFmtId="188" fontId="48" fillId="0" borderId="0" xfId="0" applyNumberFormat="1" applyFont="1">
      <alignment vertical="center"/>
    </xf>
    <xf numFmtId="10" fontId="48" fillId="0" borderId="0" xfId="0" applyNumberFormat="1" applyFont="1">
      <alignment vertical="center"/>
    </xf>
    <xf numFmtId="3" fontId="27" fillId="0" borderId="0" xfId="0" applyNumberFormat="1" applyFont="1">
      <alignment vertical="center"/>
    </xf>
    <xf numFmtId="183" fontId="27" fillId="0" borderId="0" xfId="1" applyNumberFormat="1" applyFont="1" applyFill="1" applyBorder="1" applyAlignment="1">
      <alignment vertical="center"/>
    </xf>
    <xf numFmtId="3" fontId="37" fillId="0" borderId="0" xfId="0" applyNumberFormat="1" applyFont="1">
      <alignment vertical="center"/>
    </xf>
    <xf numFmtId="3" fontId="46" fillId="0" borderId="0" xfId="0" applyNumberFormat="1" applyFont="1">
      <alignment vertical="center"/>
    </xf>
    <xf numFmtId="3" fontId="30" fillId="0" borderId="0" xfId="0" applyNumberFormat="1" applyFont="1">
      <alignment vertical="center"/>
    </xf>
    <xf numFmtId="3" fontId="36" fillId="11" borderId="0" xfId="0" applyNumberFormat="1" applyFont="1" applyFill="1">
      <alignment vertical="center"/>
    </xf>
    <xf numFmtId="3" fontId="34" fillId="0" borderId="0" xfId="0" applyNumberFormat="1" applyFont="1">
      <alignment vertical="center"/>
    </xf>
    <xf numFmtId="0" fontId="47" fillId="0" borderId="0" xfId="0" applyFont="1">
      <alignment vertical="center"/>
    </xf>
    <xf numFmtId="57" fontId="27" fillId="0" borderId="0" xfId="0" applyNumberFormat="1" applyFont="1">
      <alignment vertical="center"/>
    </xf>
    <xf numFmtId="0" fontId="49" fillId="5" borderId="7" xfId="0" applyFont="1" applyFill="1" applyBorder="1" applyProtection="1">
      <alignment vertical="center"/>
      <protection locked="0"/>
    </xf>
    <xf numFmtId="0" fontId="37" fillId="0" borderId="0" xfId="8" applyFont="1">
      <alignment vertical="center"/>
    </xf>
    <xf numFmtId="0" fontId="38" fillId="0" borderId="0" xfId="0" applyFont="1">
      <alignment vertical="center"/>
    </xf>
    <xf numFmtId="3" fontId="25" fillId="9" borderId="0" xfId="13" applyNumberFormat="1" applyFont="1" applyFill="1" applyAlignment="1">
      <alignment horizontal="center" vertical="center"/>
    </xf>
    <xf numFmtId="3" fontId="57" fillId="0" borderId="0" xfId="0" applyNumberFormat="1" applyFont="1">
      <alignment vertical="center"/>
    </xf>
    <xf numFmtId="0" fontId="65" fillId="9" borderId="0" xfId="13" applyFont="1" applyFill="1" applyAlignment="1">
      <alignment horizontal="center" vertical="center"/>
    </xf>
    <xf numFmtId="0" fontId="61" fillId="5" borderId="5" xfId="0" applyFont="1" applyFill="1" applyBorder="1" applyAlignment="1" applyProtection="1">
      <alignment horizontal="center" vertical="center"/>
      <protection locked="0"/>
    </xf>
    <xf numFmtId="178" fontId="27" fillId="0" borderId="0" xfId="8" applyNumberFormat="1" applyFont="1" applyAlignment="1">
      <alignment horizontal="center" vertical="center"/>
    </xf>
    <xf numFmtId="183" fontId="27" fillId="2" borderId="0" xfId="4" applyNumberFormat="1" applyFont="1" applyFill="1" applyBorder="1" applyAlignment="1">
      <alignment horizontal="center" vertical="center"/>
    </xf>
    <xf numFmtId="183" fontId="30" fillId="2" borderId="0" xfId="8" applyNumberFormat="1" applyFont="1" applyFill="1" applyAlignment="1">
      <alignment horizontal="center" vertical="center"/>
    </xf>
    <xf numFmtId="0" fontId="20" fillId="0" borderId="0" xfId="17" applyFont="1">
      <alignment vertical="center"/>
    </xf>
    <xf numFmtId="0" fontId="9" fillId="2" borderId="0" xfId="2" applyFont="1" applyFill="1" applyAlignment="1" applyProtection="1">
      <alignment horizontal="center" vertical="center" wrapText="1"/>
    </xf>
    <xf numFmtId="0" fontId="6" fillId="2" borderId="0" xfId="2" applyFont="1" applyFill="1" applyAlignment="1" applyProtection="1">
      <alignment horizontal="center" vertical="center" wrapText="1"/>
    </xf>
    <xf numFmtId="0" fontId="10" fillId="5" borderId="0" xfId="2" applyFont="1" applyFill="1" applyAlignment="1" applyProtection="1">
      <alignment horizontal="center" vertical="center"/>
      <protection locked="0"/>
    </xf>
    <xf numFmtId="0" fontId="4" fillId="5" borderId="6" xfId="0" applyFont="1" applyFill="1" applyBorder="1" applyAlignment="1">
      <alignment horizontal="center" vertical="center"/>
    </xf>
    <xf numFmtId="0" fontId="4" fillId="5" borderId="9" xfId="0" applyFont="1" applyFill="1" applyBorder="1" applyAlignment="1">
      <alignment horizontal="center" vertical="center"/>
    </xf>
    <xf numFmtId="49" fontId="62" fillId="4" borderId="0" xfId="0" applyNumberFormat="1" applyFont="1" applyFill="1" applyAlignment="1" applyProtection="1">
      <alignment horizontal="center" vertical="center"/>
      <protection locked="0"/>
    </xf>
    <xf numFmtId="0" fontId="56" fillId="3" borderId="0" xfId="0"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6" fillId="2" borderId="3" xfId="2" applyFont="1" applyFill="1" applyBorder="1" applyAlignment="1" applyProtection="1">
      <alignment horizontal="center" vertical="center" wrapText="1"/>
    </xf>
    <xf numFmtId="0" fontId="49" fillId="5" borderId="8" xfId="0" applyFont="1" applyFill="1" applyBorder="1" applyAlignment="1" applyProtection="1">
      <alignment horizontal="center" vertical="center"/>
      <protection locked="0"/>
    </xf>
    <xf numFmtId="0" fontId="49" fillId="5" borderId="5" xfId="0" applyFont="1" applyFill="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3" fillId="4" borderId="0" xfId="0" applyFont="1" applyFill="1" applyAlignment="1">
      <alignment horizontal="center" vertical="center"/>
    </xf>
    <xf numFmtId="0" fontId="0" fillId="4" borderId="0" xfId="0" applyFill="1" applyAlignment="1">
      <alignment horizontal="center" vertical="center"/>
    </xf>
    <xf numFmtId="0" fontId="49" fillId="5" borderId="10" xfId="0" applyFont="1" applyFill="1" applyBorder="1" applyAlignment="1" applyProtection="1">
      <alignment horizontal="center" vertical="center"/>
      <protection locked="0"/>
    </xf>
    <xf numFmtId="0" fontId="12" fillId="0" borderId="0" xfId="8">
      <alignment vertical="center"/>
    </xf>
    <xf numFmtId="0" fontId="15" fillId="13" borderId="18" xfId="8" applyFont="1" applyFill="1" applyBorder="1" applyAlignment="1">
      <alignment horizontal="justify" vertical="center" wrapText="1"/>
    </xf>
    <xf numFmtId="0" fontId="15" fillId="13" borderId="19" xfId="8" applyFont="1" applyFill="1" applyBorder="1" applyAlignment="1">
      <alignment vertical="center" wrapText="1"/>
    </xf>
    <xf numFmtId="0" fontId="15" fillId="13" borderId="19" xfId="8" applyFont="1" applyFill="1" applyBorder="1" applyAlignment="1">
      <alignment horizontal="center" vertical="center" wrapText="1"/>
    </xf>
    <xf numFmtId="0" fontId="15" fillId="13" borderId="19" xfId="8" applyFont="1" applyFill="1" applyBorder="1" applyAlignment="1">
      <alignment horizontal="justify" vertical="center" wrapText="1"/>
    </xf>
    <xf numFmtId="0" fontId="66" fillId="13" borderId="20" xfId="8" applyFont="1" applyFill="1" applyBorder="1" applyAlignment="1">
      <alignment horizontal="left" vertical="center"/>
    </xf>
    <xf numFmtId="0" fontId="66" fillId="13" borderId="0" xfId="8" applyFont="1" applyFill="1" applyAlignment="1">
      <alignment horizontal="left" vertical="center"/>
    </xf>
    <xf numFmtId="0" fontId="12" fillId="13" borderId="20" xfId="8" applyFill="1" applyBorder="1" applyAlignment="1">
      <alignment horizontal="left" vertical="center"/>
    </xf>
    <xf numFmtId="0" fontId="12" fillId="13" borderId="0" xfId="8" applyFill="1" applyAlignment="1">
      <alignment horizontal="left" vertical="center"/>
    </xf>
    <xf numFmtId="0" fontId="12" fillId="13" borderId="0" xfId="8" applyFill="1" applyAlignment="1">
      <alignment horizontal="left" vertical="center" wrapText="1"/>
    </xf>
    <xf numFmtId="0" fontId="12" fillId="13" borderId="0" xfId="8" applyFill="1">
      <alignment vertical="center"/>
    </xf>
    <xf numFmtId="0" fontId="15" fillId="13" borderId="18" xfId="8" applyFont="1" applyFill="1" applyBorder="1" applyAlignment="1">
      <alignment horizontal="center" vertical="center" wrapText="1"/>
    </xf>
    <xf numFmtId="0" fontId="16" fillId="13" borderId="21" xfId="8" applyFont="1" applyFill="1" applyBorder="1" applyAlignment="1">
      <alignment horizontal="justify" vertical="center" wrapText="1"/>
    </xf>
    <xf numFmtId="0" fontId="16" fillId="13" borderId="0" xfId="8" applyFont="1" applyFill="1" applyAlignment="1">
      <alignment horizontal="justify" vertical="top" wrapText="1"/>
    </xf>
    <xf numFmtId="0" fontId="16" fillId="13" borderId="21" xfId="8" applyFont="1" applyFill="1" applyBorder="1" applyAlignment="1">
      <alignment horizontal="center" vertical="center" wrapText="1"/>
    </xf>
    <xf numFmtId="0" fontId="16" fillId="13" borderId="0" xfId="8" applyFont="1" applyFill="1" applyAlignment="1">
      <alignment horizontal="justify" vertical="center" wrapText="1"/>
    </xf>
    <xf numFmtId="0" fontId="16" fillId="13" borderId="0" xfId="8" applyFont="1" applyFill="1" applyAlignment="1">
      <alignment horizontal="center" vertical="center" wrapText="1"/>
    </xf>
    <xf numFmtId="0" fontId="15" fillId="13" borderId="0" xfId="8" applyFont="1" applyFill="1" applyAlignment="1">
      <alignment vertical="center" wrapText="1"/>
    </xf>
    <xf numFmtId="0" fontId="16" fillId="13" borderId="22" xfId="8" applyFont="1" applyFill="1" applyBorder="1" applyAlignment="1">
      <alignment horizontal="center" vertical="center" wrapText="1"/>
    </xf>
    <xf numFmtId="0" fontId="16" fillId="13" borderId="18" xfId="8" applyFont="1" applyFill="1" applyBorder="1" applyAlignment="1">
      <alignment horizontal="justify" vertical="center" wrapText="1"/>
    </xf>
    <xf numFmtId="0" fontId="16" fillId="13" borderId="19" xfId="8" applyFont="1" applyFill="1" applyBorder="1" applyAlignment="1">
      <alignment horizontal="left" vertical="center" wrapText="1"/>
    </xf>
    <xf numFmtId="0" fontId="16" fillId="13" borderId="0" xfId="8" applyFont="1" applyFill="1" applyAlignment="1">
      <alignment horizontal="justify" vertical="center" wrapText="1"/>
    </xf>
    <xf numFmtId="0" fontId="12" fillId="13" borderId="19" xfId="8" applyFill="1" applyBorder="1" applyAlignment="1">
      <alignment horizontal="center" vertical="center"/>
    </xf>
    <xf numFmtId="0" fontId="16" fillId="13" borderId="18" xfId="8" applyFont="1" applyFill="1" applyBorder="1" applyAlignment="1">
      <alignment horizontal="left" vertical="center"/>
    </xf>
    <xf numFmtId="0" fontId="16" fillId="13" borderId="19" xfId="8" applyFont="1" applyFill="1" applyBorder="1" applyAlignment="1">
      <alignment horizontal="left" vertical="center"/>
    </xf>
    <xf numFmtId="0" fontId="16" fillId="13" borderId="22" xfId="8" applyFont="1" applyFill="1" applyBorder="1" applyAlignment="1">
      <alignment horizontal="left" vertical="center"/>
    </xf>
    <xf numFmtId="0" fontId="15" fillId="13" borderId="23" xfId="8" applyFont="1" applyFill="1" applyBorder="1" applyAlignment="1">
      <alignment horizontal="left" vertical="center" wrapText="1"/>
    </xf>
    <xf numFmtId="0" fontId="15" fillId="13" borderId="21" xfId="8" applyFont="1" applyFill="1" applyBorder="1" applyAlignment="1">
      <alignment horizontal="left" vertical="center" wrapText="1"/>
    </xf>
    <xf numFmtId="0" fontId="15" fillId="13" borderId="24" xfId="8" applyFont="1" applyFill="1" applyBorder="1" applyAlignment="1">
      <alignment horizontal="left" vertical="center" wrapText="1"/>
    </xf>
    <xf numFmtId="0" fontId="15" fillId="13" borderId="20" xfId="8" applyFont="1" applyFill="1" applyBorder="1" applyAlignment="1">
      <alignment horizontal="left" vertical="center" wrapText="1"/>
    </xf>
    <xf numFmtId="0" fontId="15" fillId="13" borderId="0" xfId="8" applyFont="1" applyFill="1" applyAlignment="1">
      <alignment horizontal="left" vertical="center" wrapText="1"/>
    </xf>
    <xf numFmtId="0" fontId="15" fillId="13" borderId="25" xfId="8" applyFont="1" applyFill="1" applyBorder="1" applyAlignment="1">
      <alignment horizontal="left" vertical="center" wrapText="1"/>
    </xf>
    <xf numFmtId="0" fontId="16" fillId="13" borderId="20" xfId="8" applyFont="1" applyFill="1" applyBorder="1" applyAlignment="1">
      <alignment horizontal="left" vertical="center" wrapText="1"/>
    </xf>
    <xf numFmtId="0" fontId="16" fillId="13" borderId="0" xfId="8" applyFont="1" applyFill="1" applyAlignment="1">
      <alignment horizontal="left" vertical="center" wrapText="1"/>
    </xf>
    <xf numFmtId="0" fontId="16" fillId="13" borderId="25" xfId="8" applyFont="1" applyFill="1" applyBorder="1" applyAlignment="1">
      <alignment horizontal="left" vertical="center" wrapText="1"/>
    </xf>
    <xf numFmtId="0" fontId="67" fillId="13" borderId="26" xfId="8" applyFont="1" applyFill="1" applyBorder="1" applyAlignment="1">
      <alignment horizontal="left" vertical="center" wrapText="1"/>
    </xf>
    <xf numFmtId="0" fontId="67" fillId="13" borderId="22" xfId="8" applyFont="1" applyFill="1" applyBorder="1" applyAlignment="1">
      <alignment horizontal="left" vertical="center" wrapText="1"/>
    </xf>
    <xf numFmtId="0" fontId="67" fillId="13" borderId="27" xfId="8" applyFont="1" applyFill="1" applyBorder="1" applyAlignment="1">
      <alignment horizontal="left" vertical="center" wrapText="1"/>
    </xf>
  </cellXfs>
  <cellStyles count="21">
    <cellStyle name="Normal 3" xfId="3" xr:uid="{00000000-0005-0000-0000-000031000000}"/>
    <cellStyle name="百分比" xfId="1" builtinId="5"/>
    <cellStyle name="百分比 2" xfId="4" xr:uid="{00000000-0005-0000-0000-000032000000}"/>
    <cellStyle name="百分比 3" xfId="5" xr:uid="{00000000-0005-0000-0000-000033000000}"/>
    <cellStyle name="百分比 4" xfId="6" xr:uid="{00000000-0005-0000-0000-000034000000}"/>
    <cellStyle name="百分比 5" xfId="19" xr:uid="{A34F17D0-2CDE-430E-B830-A62C5BE61DFB}"/>
    <cellStyle name="常规" xfId="0" builtinId="0"/>
    <cellStyle name="常规 2" xfId="7" xr:uid="{00000000-0005-0000-0000-000035000000}"/>
    <cellStyle name="常规 2 2" xfId="8" xr:uid="{00000000-0005-0000-0000-000036000000}"/>
    <cellStyle name="常规 2 3" xfId="9" xr:uid="{00000000-0005-0000-0000-000037000000}"/>
    <cellStyle name="常规 2 4" xfId="18" xr:uid="{3FCED4A0-212F-406B-81C6-1B7D7985B66F}"/>
    <cellStyle name="常规 3" xfId="10" xr:uid="{00000000-0005-0000-0000-000038000000}"/>
    <cellStyle name="常规 4" xfId="11" xr:uid="{00000000-0005-0000-0000-000039000000}"/>
    <cellStyle name="常规 5" xfId="12" xr:uid="{00000000-0005-0000-0000-00003A000000}"/>
    <cellStyle name="常规 6" xfId="17" xr:uid="{E8050133-F687-4DD0-8DFB-069D5482339B}"/>
    <cellStyle name="常规 6 2" xfId="13" xr:uid="{00000000-0005-0000-0000-00003B000000}"/>
    <cellStyle name="常规 6 2 2" xfId="14" xr:uid="{00000000-0005-0000-0000-00003C000000}"/>
    <cellStyle name="常规 6 2 3" xfId="20" xr:uid="{E9D6A986-582A-4784-81A9-6C5A8C9C296D}"/>
    <cellStyle name="超链接" xfId="2" builtinId="8"/>
    <cellStyle name="千位分隔 2" xfId="15" xr:uid="{00000000-0005-0000-0000-00003D000000}"/>
    <cellStyle name="注释 2" xfId="16" xr:uid="{00000000-0005-0000-0000-00003E000000}"/>
  </cellStyles>
  <dxfs count="0"/>
  <tableStyles count="1" defaultTableStyle="TableStyleMedium2" defaultPivotStyle="PivotStyleLight16">
    <tableStyle name="Invisible" pivot="0" table="0" count="0" xr9:uid="{7042DB4E-9999-434D-A266-4E51E19BD520}"/>
  </tableStyles>
  <colors>
    <mruColors>
      <color rgb="FF4A61A0"/>
      <color rgb="FFD9E9F7"/>
      <color rgb="FF78B0E2"/>
      <color rgb="FFBDD8F1"/>
      <color rgb="FF9FC7EB"/>
      <color rgb="FFFEEAA0"/>
      <color rgb="FF4B5F9E"/>
      <color rgb="FF8ABAE6"/>
      <color rgb="FF8FBEE7"/>
      <color rgb="FFFEDC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138127</xdr:colOff>
      <xdr:row>0</xdr:row>
      <xdr:rowOff>233363</xdr:rowOff>
    </xdr:from>
    <xdr:to>
      <xdr:col>2</xdr:col>
      <xdr:colOff>800115</xdr:colOff>
      <xdr:row>0</xdr:row>
      <xdr:rowOff>528638</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95" y="233045"/>
          <a:ext cx="2033905"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167005</xdr:colOff>
      <xdr:row>1</xdr:row>
      <xdr:rowOff>0</xdr:rowOff>
    </xdr:from>
    <xdr:to>
      <xdr:col>29</xdr:col>
      <xdr:colOff>371474</xdr:colOff>
      <xdr:row>26</xdr:row>
      <xdr:rowOff>124460</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3196570" y="171450"/>
          <a:ext cx="9119870" cy="437261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iyiwen@gtht.com" TargetMode="External"/><Relationship Id="rId2" Type="http://schemas.openxmlformats.org/officeDocument/2006/relationships/hyperlink" Target="mailto:xuqiang@gtht.com" TargetMode="External"/><Relationship Id="rId1" Type="http://schemas.openxmlformats.org/officeDocument/2006/relationships/hyperlink" Target="mailto:moujunyu@gtht.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8" Type="http://schemas.openxmlformats.org/officeDocument/2006/relationships/hyperlink" Target="https://xl.16888.com/b/126359/history-202509-202509.html" TargetMode="External"/><Relationship Id="rId3" Type="http://schemas.openxmlformats.org/officeDocument/2006/relationships/hyperlink" Target="https://www.icauto.com.cn/rank/car_985.html" TargetMode="External"/><Relationship Id="rId7" Type="http://schemas.openxmlformats.org/officeDocument/2006/relationships/hyperlink" Target="https://www.icauto.com.cn/rank/car_985.html" TargetMode="External"/><Relationship Id="rId2" Type="http://schemas.openxmlformats.org/officeDocument/2006/relationships/hyperlink" Target="https://www.icauto.com.cn/rank/car_1692.html" TargetMode="External"/><Relationship Id="rId1" Type="http://schemas.openxmlformats.org/officeDocument/2006/relationships/hyperlink" Target="https://xl.16888.com/b/126359/history-202509-202509.html" TargetMode="External"/><Relationship Id="rId6" Type="http://schemas.openxmlformats.org/officeDocument/2006/relationships/hyperlink" Target="https://www.icauto.com.cn/rank/car_1692.html" TargetMode="External"/><Relationship Id="rId5" Type="http://schemas.openxmlformats.org/officeDocument/2006/relationships/hyperlink" Target="https://www.icauto.com.cn/rank/car_985.html" TargetMode="External"/><Relationship Id="rId4" Type="http://schemas.openxmlformats.org/officeDocument/2006/relationships/hyperlink" Target="https://www.icauto.com.cn/rank/car_1692.html" TargetMode="External"/><Relationship Id="rId9"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zoomScale="90" zoomScaleNormal="90" workbookViewId="0">
      <pane ySplit="6" topLeftCell="A7" activePane="bottomLeft" state="frozen"/>
      <selection pane="bottomLeft" activeCell="A2" sqref="A2:C3"/>
    </sheetView>
  </sheetViews>
  <sheetFormatPr defaultColWidth="9" defaultRowHeight="14.4" x14ac:dyDescent="0.25"/>
  <cols>
    <col min="3" max="3" width="13.3984375" customWidth="1"/>
    <col min="4" max="4" width="30.3984375" customWidth="1"/>
    <col min="5" max="5" width="5.296875" customWidth="1"/>
    <col min="6" max="6" width="15.09765625" customWidth="1"/>
    <col min="7" max="7" width="5.69921875" customWidth="1"/>
    <col min="8" max="8" width="23.8984375" customWidth="1"/>
    <col min="10" max="10" width="9" customWidth="1"/>
  </cols>
  <sheetData>
    <row r="1" spans="1:14" ht="58.5" customHeight="1" x14ac:dyDescent="0.25">
      <c r="A1" s="230"/>
      <c r="B1" s="230"/>
      <c r="C1" s="230"/>
      <c r="D1" s="239" t="s">
        <v>0</v>
      </c>
      <c r="E1" s="240"/>
      <c r="F1" s="240"/>
      <c r="G1" s="240"/>
      <c r="H1" s="240"/>
      <c r="I1" s="240"/>
      <c r="J1" s="240"/>
      <c r="K1" s="240"/>
    </row>
    <row r="2" spans="1:14" ht="13.55" customHeight="1" x14ac:dyDescent="0.25">
      <c r="A2" s="228" t="s">
        <v>217</v>
      </c>
      <c r="B2" s="228"/>
      <c r="C2" s="228"/>
      <c r="D2" s="229" t="s">
        <v>165</v>
      </c>
      <c r="E2" s="230"/>
      <c r="F2" s="230"/>
      <c r="G2" s="230"/>
      <c r="H2" s="230"/>
      <c r="I2" s="230"/>
      <c r="J2" s="230"/>
      <c r="K2" s="230"/>
    </row>
    <row r="3" spans="1:14" x14ac:dyDescent="0.25">
      <c r="A3" s="228"/>
      <c r="B3" s="228"/>
      <c r="C3" s="228"/>
      <c r="D3" s="230"/>
      <c r="E3" s="230"/>
      <c r="F3" s="230"/>
      <c r="G3" s="230"/>
      <c r="H3" s="230"/>
      <c r="I3" s="230"/>
      <c r="J3" s="230"/>
      <c r="K3" s="230"/>
    </row>
    <row r="4" spans="1:14" ht="15" customHeight="1" thickBot="1" x14ac:dyDescent="0.3">
      <c r="A4" s="231" t="s">
        <v>1</v>
      </c>
      <c r="B4" s="232"/>
      <c r="C4" s="226" t="s">
        <v>2</v>
      </c>
      <c r="D4" s="218" t="s">
        <v>212</v>
      </c>
      <c r="E4" s="212" t="s">
        <v>181</v>
      </c>
      <c r="F4" s="212" t="s">
        <v>3</v>
      </c>
      <c r="G4" s="212" t="s">
        <v>182</v>
      </c>
      <c r="H4" s="212" t="s">
        <v>4</v>
      </c>
      <c r="I4" s="212" t="s">
        <v>183</v>
      </c>
      <c r="J4" s="236" t="s">
        <v>5</v>
      </c>
      <c r="K4" s="237"/>
    </row>
    <row r="5" spans="1:14" ht="15" customHeight="1" thickBot="1" x14ac:dyDescent="0.3">
      <c r="A5" s="233"/>
      <c r="B5" s="234"/>
      <c r="C5" s="227"/>
      <c r="D5" s="218" t="s">
        <v>213</v>
      </c>
      <c r="E5" s="212" t="s">
        <v>181</v>
      </c>
      <c r="F5" s="212" t="s">
        <v>6</v>
      </c>
      <c r="G5" s="212" t="s">
        <v>182</v>
      </c>
      <c r="H5" s="212" t="s">
        <v>7</v>
      </c>
      <c r="I5" s="212" t="s">
        <v>183</v>
      </c>
      <c r="J5" s="241" t="s">
        <v>8</v>
      </c>
      <c r="K5" s="241"/>
    </row>
    <row r="6" spans="1:14" ht="15" customHeight="1" thickBot="1" x14ac:dyDescent="0.3">
      <c r="A6" s="233"/>
      <c r="B6" s="234"/>
      <c r="C6" s="227"/>
      <c r="D6" s="218" t="s">
        <v>214</v>
      </c>
      <c r="E6" s="212" t="s">
        <v>181</v>
      </c>
      <c r="F6" s="212" t="s">
        <v>133</v>
      </c>
      <c r="G6" s="212" t="s">
        <v>182</v>
      </c>
      <c r="H6" s="212" t="s">
        <v>134</v>
      </c>
      <c r="I6" s="212" t="s">
        <v>183</v>
      </c>
      <c r="J6" s="236" t="s">
        <v>135</v>
      </c>
      <c r="K6" s="237"/>
    </row>
    <row r="7" spans="1:14" x14ac:dyDescent="0.25">
      <c r="A7" s="238" t="s">
        <v>9</v>
      </c>
      <c r="B7" s="238"/>
      <c r="C7" s="238"/>
      <c r="D7" s="1" t="s">
        <v>10</v>
      </c>
      <c r="E7" s="140"/>
    </row>
    <row r="8" spans="1:14" ht="15.55" customHeight="1" x14ac:dyDescent="0.25">
      <c r="A8" s="235" t="s">
        <v>127</v>
      </c>
      <c r="B8" s="235"/>
      <c r="C8" s="235"/>
      <c r="D8" s="2" t="s">
        <v>29</v>
      </c>
      <c r="E8" s="140"/>
    </row>
    <row r="9" spans="1:14" ht="14.25" customHeight="1" x14ac:dyDescent="0.25">
      <c r="A9" s="235" t="s">
        <v>129</v>
      </c>
      <c r="B9" s="235"/>
      <c r="C9" s="235"/>
      <c r="D9" s="79" t="s">
        <v>128</v>
      </c>
      <c r="E9" s="140"/>
    </row>
    <row r="10" spans="1:14" ht="15" customHeight="1" x14ac:dyDescent="0.25">
      <c r="A10" s="235" t="s">
        <v>11</v>
      </c>
      <c r="B10" s="235"/>
      <c r="C10" s="235"/>
      <c r="D10" s="3" t="s">
        <v>12</v>
      </c>
      <c r="E10" s="140"/>
    </row>
    <row r="11" spans="1:14" ht="15" customHeight="1" x14ac:dyDescent="0.25">
      <c r="A11" s="235" t="s">
        <v>11</v>
      </c>
      <c r="B11" s="235"/>
      <c r="C11" s="235"/>
      <c r="D11" s="3" t="s">
        <v>13</v>
      </c>
      <c r="E11" s="140"/>
    </row>
    <row r="12" spans="1:14" ht="15.55" customHeight="1" x14ac:dyDescent="0.25">
      <c r="A12" s="235" t="s">
        <v>184</v>
      </c>
      <c r="B12" s="235"/>
      <c r="C12" s="235"/>
      <c r="D12" s="79" t="s">
        <v>130</v>
      </c>
      <c r="E12" s="140"/>
      <c r="G12" s="141"/>
    </row>
    <row r="13" spans="1:14" ht="15.55" customHeight="1" x14ac:dyDescent="0.25">
      <c r="A13" s="235" t="s">
        <v>132</v>
      </c>
      <c r="B13" s="235"/>
      <c r="C13" s="235"/>
      <c r="D13" s="79" t="s">
        <v>131</v>
      </c>
      <c r="E13" s="140"/>
      <c r="G13" s="141"/>
    </row>
    <row r="14" spans="1:14" x14ac:dyDescent="0.25">
      <c r="A14" s="235" t="s">
        <v>14</v>
      </c>
      <c r="B14" s="235"/>
      <c r="C14" s="235"/>
      <c r="D14" s="3" t="s">
        <v>15</v>
      </c>
      <c r="E14" s="140"/>
      <c r="G14" s="141"/>
    </row>
    <row r="15" spans="1:14" x14ac:dyDescent="0.25">
      <c r="A15" s="223" t="s">
        <v>16</v>
      </c>
      <c r="B15" s="224"/>
      <c r="C15" s="224"/>
      <c r="D15" s="4" t="s">
        <v>17</v>
      </c>
    </row>
    <row r="16" spans="1:14" ht="15.7" customHeight="1" x14ac:dyDescent="0.25">
      <c r="A16" s="225" t="s">
        <v>18</v>
      </c>
      <c r="B16" s="225"/>
      <c r="C16" s="225"/>
      <c r="D16" s="225"/>
      <c r="E16" s="225"/>
      <c r="F16" s="225"/>
      <c r="G16" s="225"/>
      <c r="H16" s="225"/>
      <c r="I16" s="225"/>
      <c r="J16" s="225"/>
      <c r="K16" s="225"/>
      <c r="L16" s="142"/>
      <c r="M16" s="142"/>
      <c r="N16" s="142"/>
    </row>
  </sheetData>
  <sheetProtection selectLockedCells="1"/>
  <mergeCells count="19">
    <mergeCell ref="A1:C1"/>
    <mergeCell ref="D1:K1"/>
    <mergeCell ref="J4:K4"/>
    <mergeCell ref="J5:K5"/>
    <mergeCell ref="A14:C14"/>
    <mergeCell ref="A15:C15"/>
    <mergeCell ref="A16:K16"/>
    <mergeCell ref="C4:C6"/>
    <mergeCell ref="A2:C3"/>
    <mergeCell ref="D2:K3"/>
    <mergeCell ref="A4:B6"/>
    <mergeCell ref="A10:C10"/>
    <mergeCell ref="A11:C11"/>
    <mergeCell ref="A12:C12"/>
    <mergeCell ref="A13:C13"/>
    <mergeCell ref="A9:C9"/>
    <mergeCell ref="J6:K6"/>
    <mergeCell ref="A7:C7"/>
    <mergeCell ref="A8:C8"/>
  </mergeCells>
  <phoneticPr fontId="17" type="noConversion"/>
  <hyperlinks>
    <hyperlink ref="A16:E16" location="重要声明!A1" display="★ 请务必阅读最末页的重要声明" xr:uid="{00000000-0004-0000-0000-000000000000}"/>
    <hyperlink ref="A8" location="全球新能源乘用车销量!A1" display="全球新能源乘用车销量" xr:uid="{00000000-0004-0000-0000-000001000000}"/>
    <hyperlink ref="A14" location="'核心新能源车企销量-月度'!A1" display="充电桩" xr:uid="{00000000-0004-0000-0000-000002000000}"/>
    <hyperlink ref="A11" location="中国新能源汽车销量!A1" display="中国新能源汽车销量" xr:uid="{00000000-0004-0000-0000-000003000000}"/>
    <hyperlink ref="H5" r:id="rId1" xr:uid="{00000000-0004-0000-0000-000004000000}"/>
    <hyperlink ref="A10" location="中国新能源汽车销量!A1" display="中国新能源汽车销量" xr:uid="{00000000-0004-0000-0000-000005000000}"/>
    <hyperlink ref="A10:C10" location="'中国新能源汽车销量-中汽协'!A1" display="中国新能源汽车销量" xr:uid="{00000000-0004-0000-0000-000006000000}"/>
    <hyperlink ref="A11:C11" location="'中国新能源汽车销量-乘联会'!A1" display="中国新能源汽车销量" xr:uid="{00000000-0004-0000-0000-000007000000}"/>
    <hyperlink ref="A12" location="'核心新能源车企销量-月度'!A1" display="核心新能源车企销量-月度" xr:uid="{00000000-0004-0000-0000-000008000000}"/>
    <hyperlink ref="A14:C14" location="'充电桩-充电联盟'!A1" display="充电桩" xr:uid="{00000000-0004-0000-0000-000009000000}"/>
    <hyperlink ref="A9:C9" location="欧洲新能源乘用车销量!A1" display="欧洲新能源乘用车销量" xr:uid="{00000000-0004-0000-0000-000012000000}"/>
    <hyperlink ref="H4" r:id="rId2" xr:uid="{00000000-0004-0000-0000-000015000000}"/>
    <hyperlink ref="A8:C8" location="全球新能源车销量!A1" display="全球新能源车销量" xr:uid="{BE47E067-E247-41CF-8D7E-854B00DE1898}"/>
    <hyperlink ref="A12:C12" location="'中国新能源车企批发销量-月度'!A1" display="新能源车企月度销量" xr:uid="{BD961564-F4E3-41CC-9199-765A9C1B3A07}"/>
    <hyperlink ref="A13" location="'核心新能源车企销量-月度'!A1" display="核心新能源车企销量-月度" xr:uid="{53C166EC-FDB9-4175-94CC-D24727D00B05}"/>
    <hyperlink ref="A13:C13" location="特斯拉中国!A1" display="特斯拉中国" xr:uid="{B66BACB3-C099-465B-B2BF-39E59E8CA74E}"/>
    <hyperlink ref="H6" r:id="rId3" xr:uid="{F9C5C376-D548-4780-8526-D6E2ADF74994}"/>
  </hyperlinks>
  <pageMargins left="0.7" right="0.7" top="0.75" bottom="0.75" header="0.3" footer="0.3"/>
  <pageSetup paperSize="9" orientation="portrait"/>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2AA3-A3ED-4DC3-9CCC-3B7597C15797}">
  <dimension ref="A1:G24"/>
  <sheetViews>
    <sheetView tabSelected="1" workbookViewId="0">
      <selection activeCell="I8" sqref="I8"/>
    </sheetView>
  </sheetViews>
  <sheetFormatPr defaultColWidth="9" defaultRowHeight="14.4" x14ac:dyDescent="0.25"/>
  <cols>
    <col min="1" max="2" width="9.5" style="242" customWidth="1"/>
    <col min="3" max="3" width="9" style="242"/>
    <col min="4" max="4" width="11.296875" style="242" customWidth="1"/>
    <col min="5" max="16384" width="9" style="242"/>
  </cols>
  <sheetData>
    <row r="1" spans="1:7" x14ac:dyDescent="0.25">
      <c r="A1" s="279" t="s">
        <v>252</v>
      </c>
      <c r="B1" s="278"/>
      <c r="C1" s="278"/>
      <c r="D1" s="278"/>
      <c r="E1" s="278"/>
      <c r="F1" s="278"/>
      <c r="G1" s="277"/>
    </row>
    <row r="2" spans="1:7" x14ac:dyDescent="0.25">
      <c r="A2" s="276" t="s">
        <v>251</v>
      </c>
      <c r="B2" s="275"/>
      <c r="C2" s="275"/>
      <c r="D2" s="275"/>
      <c r="E2" s="275"/>
      <c r="F2" s="275"/>
      <c r="G2" s="274"/>
    </row>
    <row r="3" spans="1:7" ht="45.1" customHeight="1" x14ac:dyDescent="0.25">
      <c r="A3" s="273" t="s">
        <v>250</v>
      </c>
      <c r="B3" s="272"/>
      <c r="C3" s="272"/>
      <c r="D3" s="272"/>
      <c r="E3" s="272"/>
      <c r="F3" s="272"/>
      <c r="G3" s="271"/>
    </row>
    <row r="4" spans="1:7" x14ac:dyDescent="0.25">
      <c r="A4" s="276" t="s">
        <v>249</v>
      </c>
      <c r="B4" s="275"/>
      <c r="C4" s="275"/>
      <c r="D4" s="275"/>
      <c r="E4" s="275"/>
      <c r="F4" s="275"/>
      <c r="G4" s="274"/>
    </row>
    <row r="5" spans="1:7" ht="46.55" customHeight="1" x14ac:dyDescent="0.25">
      <c r="A5" s="273" t="s">
        <v>248</v>
      </c>
      <c r="B5" s="272"/>
      <c r="C5" s="272"/>
      <c r="D5" s="272"/>
      <c r="E5" s="272"/>
      <c r="F5" s="272"/>
      <c r="G5" s="271"/>
    </row>
    <row r="6" spans="1:7" ht="77.2" customHeight="1" x14ac:dyDescent="0.25">
      <c r="A6" s="273" t="s">
        <v>247</v>
      </c>
      <c r="B6" s="272"/>
      <c r="C6" s="272"/>
      <c r="D6" s="272"/>
      <c r="E6" s="272"/>
      <c r="F6" s="272"/>
      <c r="G6" s="271"/>
    </row>
    <row r="7" spans="1:7" ht="63.8" customHeight="1" x14ac:dyDescent="0.25">
      <c r="A7" s="273" t="s">
        <v>246</v>
      </c>
      <c r="B7" s="272"/>
      <c r="C7" s="272"/>
      <c r="D7" s="272"/>
      <c r="E7" s="272"/>
      <c r="F7" s="272"/>
      <c r="G7" s="271"/>
    </row>
    <row r="8" spans="1:7" ht="60.05" customHeight="1" x14ac:dyDescent="0.25">
      <c r="A8" s="273" t="s">
        <v>245</v>
      </c>
      <c r="B8" s="272"/>
      <c r="C8" s="272"/>
      <c r="D8" s="272"/>
      <c r="E8" s="272"/>
      <c r="F8" s="272"/>
      <c r="G8" s="271"/>
    </row>
    <row r="9" spans="1:7" ht="39.049999999999997" customHeight="1" x14ac:dyDescent="0.25">
      <c r="A9" s="273" t="s">
        <v>244</v>
      </c>
      <c r="B9" s="272"/>
      <c r="C9" s="272"/>
      <c r="D9" s="272"/>
      <c r="E9" s="272"/>
      <c r="F9" s="272"/>
      <c r="G9" s="271"/>
    </row>
    <row r="10" spans="1:7" ht="45.8" customHeight="1" x14ac:dyDescent="0.25">
      <c r="A10" s="273" t="s">
        <v>243</v>
      </c>
      <c r="B10" s="272"/>
      <c r="C10" s="272"/>
      <c r="D10" s="272"/>
      <c r="E10" s="272"/>
      <c r="F10" s="272"/>
      <c r="G10" s="271"/>
    </row>
    <row r="11" spans="1:7" ht="63.1" customHeight="1" thickBot="1" x14ac:dyDescent="0.3">
      <c r="A11" s="270" t="s">
        <v>242</v>
      </c>
      <c r="B11" s="269"/>
      <c r="C11" s="269"/>
      <c r="D11" s="269"/>
      <c r="E11" s="269"/>
      <c r="F11" s="269"/>
      <c r="G11" s="268"/>
    </row>
    <row r="12" spans="1:7" ht="15" thickBot="1" x14ac:dyDescent="0.3">
      <c r="A12" s="266" t="s">
        <v>241</v>
      </c>
      <c r="B12" s="266"/>
      <c r="C12" s="267"/>
      <c r="D12" s="266"/>
      <c r="E12" s="266"/>
      <c r="F12" s="266"/>
      <c r="G12" s="265"/>
    </row>
    <row r="13" spans="1:7" ht="15" thickBot="1" x14ac:dyDescent="0.3">
      <c r="A13" s="264"/>
      <c r="B13" s="264"/>
      <c r="C13" s="255"/>
      <c r="D13" s="263"/>
      <c r="E13" s="262" t="s">
        <v>240</v>
      </c>
      <c r="F13" s="262"/>
      <c r="G13" s="261" t="s">
        <v>239</v>
      </c>
    </row>
    <row r="14" spans="1:7" ht="25.5" customHeight="1" thickBot="1" x14ac:dyDescent="0.3">
      <c r="A14" s="260" t="s">
        <v>238</v>
      </c>
      <c r="B14" s="260"/>
      <c r="C14" s="255"/>
      <c r="D14" s="258" t="s">
        <v>237</v>
      </c>
      <c r="E14" s="259" t="s">
        <v>2</v>
      </c>
      <c r="F14" s="245" t="s">
        <v>236</v>
      </c>
      <c r="G14" s="253"/>
    </row>
    <row r="15" spans="1:7" ht="25.5" customHeight="1" thickBot="1" x14ac:dyDescent="0.3">
      <c r="A15" s="258"/>
      <c r="B15" s="258"/>
      <c r="C15" s="255"/>
      <c r="D15" s="258"/>
      <c r="E15" s="244" t="s">
        <v>235</v>
      </c>
      <c r="F15" s="245" t="s">
        <v>234</v>
      </c>
      <c r="G15" s="253"/>
    </row>
    <row r="16" spans="1:7" ht="25.5" customHeight="1" thickBot="1" x14ac:dyDescent="0.3">
      <c r="A16" s="258"/>
      <c r="B16" s="258"/>
      <c r="C16" s="255"/>
      <c r="D16" s="258"/>
      <c r="E16" s="259" t="s">
        <v>227</v>
      </c>
      <c r="F16" s="245" t="s">
        <v>233</v>
      </c>
      <c r="G16" s="253"/>
    </row>
    <row r="17" spans="1:7" ht="25.5" customHeight="1" thickBot="1" x14ac:dyDescent="0.3">
      <c r="A17" s="258"/>
      <c r="B17" s="258"/>
      <c r="C17" s="255"/>
      <c r="D17" s="258"/>
      <c r="E17" s="244" t="s">
        <v>225</v>
      </c>
      <c r="F17" s="245" t="s">
        <v>232</v>
      </c>
      <c r="G17" s="253"/>
    </row>
    <row r="18" spans="1:7" ht="38.049999999999997" customHeight="1" thickBot="1" x14ac:dyDescent="0.3">
      <c r="A18" s="258"/>
      <c r="B18" s="258"/>
      <c r="C18" s="255"/>
      <c r="D18" s="258"/>
      <c r="E18" s="244" t="s">
        <v>231</v>
      </c>
      <c r="F18" s="245" t="s">
        <v>230</v>
      </c>
      <c r="G18" s="253"/>
    </row>
    <row r="19" spans="1:7" ht="23.2" customHeight="1" thickBot="1" x14ac:dyDescent="0.3">
      <c r="A19" s="258"/>
      <c r="B19" s="258"/>
      <c r="C19" s="255"/>
      <c r="D19" s="257" t="s">
        <v>229</v>
      </c>
      <c r="E19" s="244" t="s">
        <v>2</v>
      </c>
      <c r="F19" s="245" t="s">
        <v>228</v>
      </c>
      <c r="G19" s="253"/>
    </row>
    <row r="20" spans="1:7" ht="22.5" customHeight="1" thickBot="1" x14ac:dyDescent="0.3">
      <c r="A20" s="258"/>
      <c r="B20" s="258"/>
      <c r="C20" s="255"/>
      <c r="D20" s="257"/>
      <c r="E20" s="244" t="s">
        <v>227</v>
      </c>
      <c r="F20" s="245" t="s">
        <v>226</v>
      </c>
      <c r="G20" s="253"/>
    </row>
    <row r="21" spans="1:7" ht="24.05" customHeight="1" thickBot="1" x14ac:dyDescent="0.3">
      <c r="A21" s="256"/>
      <c r="B21" s="256"/>
      <c r="C21" s="255"/>
      <c r="D21" s="254"/>
      <c r="E21" s="244" t="s">
        <v>225</v>
      </c>
      <c r="F21" s="245" t="s">
        <v>224</v>
      </c>
      <c r="G21" s="253"/>
    </row>
    <row r="22" spans="1:7" x14ac:dyDescent="0.25">
      <c r="A22" s="252"/>
      <c r="B22" s="251"/>
      <c r="C22" s="250"/>
      <c r="D22" s="250"/>
      <c r="E22" s="250"/>
      <c r="F22" s="250"/>
      <c r="G22" s="249"/>
    </row>
    <row r="23" spans="1:7" ht="17.850000000000001" thickBot="1" x14ac:dyDescent="0.3">
      <c r="A23" s="248" t="s">
        <v>223</v>
      </c>
      <c r="B23" s="248"/>
      <c r="C23" s="248"/>
      <c r="D23" s="248"/>
      <c r="E23" s="248"/>
      <c r="F23" s="248"/>
      <c r="G23" s="247"/>
    </row>
    <row r="24" spans="1:7" ht="22.5" thickBot="1" x14ac:dyDescent="0.3">
      <c r="A24" s="246" t="s">
        <v>222</v>
      </c>
      <c r="B24" s="245" t="s">
        <v>221</v>
      </c>
      <c r="C24" s="245"/>
      <c r="D24" s="244" t="s">
        <v>220</v>
      </c>
      <c r="E24" s="244">
        <v>200011</v>
      </c>
      <c r="F24" s="244" t="s">
        <v>219</v>
      </c>
      <c r="G24" s="243" t="s">
        <v>218</v>
      </c>
    </row>
  </sheetData>
  <mergeCells count="28">
    <mergeCell ref="A6:G6"/>
    <mergeCell ref="A7:G7"/>
    <mergeCell ref="A8:G8"/>
    <mergeCell ref="A9:G9"/>
    <mergeCell ref="A10:G10"/>
    <mergeCell ref="A1:G1"/>
    <mergeCell ref="A2:G2"/>
    <mergeCell ref="A3:G3"/>
    <mergeCell ref="A4:G4"/>
    <mergeCell ref="A5:G5"/>
    <mergeCell ref="F17:G17"/>
    <mergeCell ref="F18:G18"/>
    <mergeCell ref="F19:G19"/>
    <mergeCell ref="A11:G11"/>
    <mergeCell ref="A12:G12"/>
    <mergeCell ref="A13:B13"/>
    <mergeCell ref="E13:F13"/>
    <mergeCell ref="F14:G14"/>
    <mergeCell ref="F20:G20"/>
    <mergeCell ref="F21:G21"/>
    <mergeCell ref="A23:G23"/>
    <mergeCell ref="B24:C24"/>
    <mergeCell ref="C13:C21"/>
    <mergeCell ref="D14:D18"/>
    <mergeCell ref="D19:D21"/>
    <mergeCell ref="A14:B21"/>
    <mergeCell ref="F15:G15"/>
    <mergeCell ref="F16:G16"/>
  </mergeCells>
  <phoneticPr fontId="17"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43"/>
  <sheetViews>
    <sheetView topLeftCell="A8" zoomScale="90" zoomScaleNormal="90" workbookViewId="0">
      <selection activeCell="E32" sqref="E32"/>
    </sheetView>
  </sheetViews>
  <sheetFormatPr defaultColWidth="9" defaultRowHeight="11.55" x14ac:dyDescent="0.25"/>
  <cols>
    <col min="1" max="1" width="5.69921875" style="143" customWidth="1"/>
    <col min="2" max="2" width="9" style="143"/>
    <col min="3" max="3" width="22.09765625" style="143" customWidth="1"/>
    <col min="4" max="4" width="9" style="143"/>
    <col min="5" max="6" width="17.69921875" style="143" bestFit="1" customWidth="1"/>
    <col min="7" max="7" width="18.296875" style="143" customWidth="1"/>
    <col min="8" max="16384" width="9" style="143"/>
  </cols>
  <sheetData>
    <row r="1" spans="2:7" ht="14" customHeight="1" x14ac:dyDescent="0.25"/>
    <row r="2" spans="2:7" ht="14" customHeight="1" x14ac:dyDescent="0.25">
      <c r="B2" s="144"/>
      <c r="C2" s="68" t="s">
        <v>124</v>
      </c>
      <c r="D2" s="68" t="s">
        <v>19</v>
      </c>
      <c r="E2" s="68" t="s">
        <v>125</v>
      </c>
      <c r="F2" s="68" t="s">
        <v>126</v>
      </c>
      <c r="G2" s="145"/>
    </row>
    <row r="3" spans="2:7" ht="14" customHeight="1" x14ac:dyDescent="0.25">
      <c r="B3" s="69">
        <v>2015</v>
      </c>
      <c r="C3" s="70">
        <v>52.34</v>
      </c>
      <c r="D3" s="71"/>
      <c r="E3" s="70">
        <v>8968.4599999999991</v>
      </c>
      <c r="F3" s="72">
        <f>C3/E3</f>
        <v>5.8360075196856546E-3</v>
      </c>
    </row>
    <row r="4" spans="2:7" ht="14" customHeight="1" x14ac:dyDescent="0.25">
      <c r="B4" s="73">
        <v>2016</v>
      </c>
      <c r="C4" s="74">
        <v>75.08</v>
      </c>
      <c r="D4" s="75">
        <f>C4/C3-1</f>
        <v>0.43446694688574694</v>
      </c>
      <c r="E4" s="74">
        <v>9385.64</v>
      </c>
      <c r="F4" s="76">
        <f t="shared" ref="F4:F13" si="0">C4/E4</f>
        <v>7.9994544857889295E-3</v>
      </c>
    </row>
    <row r="5" spans="2:7" ht="14" customHeight="1" x14ac:dyDescent="0.25">
      <c r="B5" s="73">
        <v>2017</v>
      </c>
      <c r="C5" s="74">
        <v>118.93</v>
      </c>
      <c r="D5" s="75">
        <f t="shared" ref="D5:D13" si="1">C5/C4-1</f>
        <v>0.5840436867341503</v>
      </c>
      <c r="E5" s="74">
        <v>9566.06</v>
      </c>
      <c r="F5" s="76">
        <f t="shared" si="0"/>
        <v>1.2432495719240733E-2</v>
      </c>
    </row>
    <row r="6" spans="2:7" ht="14" customHeight="1" x14ac:dyDescent="0.25">
      <c r="B6" s="73">
        <v>2018</v>
      </c>
      <c r="C6" s="74">
        <v>198.62</v>
      </c>
      <c r="D6" s="75">
        <f t="shared" si="1"/>
        <v>0.67005801732111325</v>
      </c>
      <c r="E6" s="74">
        <v>9505.59</v>
      </c>
      <c r="F6" s="76">
        <f t="shared" si="0"/>
        <v>2.0895073320014855E-2</v>
      </c>
    </row>
    <row r="7" spans="2:7" ht="14" customHeight="1" x14ac:dyDescent="0.25">
      <c r="B7" s="73">
        <v>2019</v>
      </c>
      <c r="C7" s="74">
        <v>219.42</v>
      </c>
      <c r="D7" s="75">
        <f t="shared" si="1"/>
        <v>0.10472258584231176</v>
      </c>
      <c r="E7" s="74">
        <v>9206.5300000000007</v>
      </c>
      <c r="F7" s="76">
        <f t="shared" si="0"/>
        <v>2.3833083691684052E-2</v>
      </c>
    </row>
    <row r="8" spans="2:7" ht="14" customHeight="1" x14ac:dyDescent="0.25">
      <c r="B8" s="73">
        <v>2020</v>
      </c>
      <c r="C8" s="74">
        <v>310.54000000000002</v>
      </c>
      <c r="D8" s="75">
        <f t="shared" si="1"/>
        <v>0.41527663841035478</v>
      </c>
      <c r="E8" s="74">
        <v>7966.86</v>
      </c>
      <c r="F8" s="76">
        <f t="shared" si="0"/>
        <v>3.8978970384819116E-2</v>
      </c>
    </row>
    <row r="9" spans="2:7" ht="14" customHeight="1" x14ac:dyDescent="0.25">
      <c r="B9" s="73">
        <v>2021</v>
      </c>
      <c r="C9" s="74">
        <v>644.20000000000005</v>
      </c>
      <c r="D9" s="75">
        <f t="shared" si="1"/>
        <v>1.0744509563985316</v>
      </c>
      <c r="E9" s="74">
        <v>8363.84</v>
      </c>
      <c r="F9" s="76">
        <f t="shared" si="0"/>
        <v>7.7022037724298886E-2</v>
      </c>
    </row>
    <row r="10" spans="2:7" ht="14" customHeight="1" x14ac:dyDescent="0.25">
      <c r="B10" s="73">
        <v>2022</v>
      </c>
      <c r="C10" s="74">
        <v>1007.53</v>
      </c>
      <c r="D10" s="75">
        <f t="shared" si="1"/>
        <v>0.56400186277553543</v>
      </c>
      <c r="E10" s="74">
        <v>8298.58</v>
      </c>
      <c r="F10" s="76">
        <f t="shared" si="0"/>
        <v>0.12140992796357931</v>
      </c>
    </row>
    <row r="11" spans="2:7" ht="14" customHeight="1" x14ac:dyDescent="0.25">
      <c r="B11" s="73">
        <v>2023</v>
      </c>
      <c r="C11" s="74">
        <v>1367.46</v>
      </c>
      <c r="D11" s="75">
        <f t="shared" si="1"/>
        <v>0.35723998292854819</v>
      </c>
      <c r="E11" s="74">
        <v>9285.01</v>
      </c>
      <c r="F11" s="76">
        <f t="shared" si="0"/>
        <v>0.14727609340216111</v>
      </c>
    </row>
    <row r="12" spans="2:7" ht="14" customHeight="1" x14ac:dyDescent="0.25">
      <c r="B12" s="73">
        <v>2024</v>
      </c>
      <c r="C12" s="74">
        <v>1724.16</v>
      </c>
      <c r="D12" s="75">
        <f t="shared" si="1"/>
        <v>0.26084858058005356</v>
      </c>
      <c r="E12" s="74">
        <v>9531.4699999999993</v>
      </c>
      <c r="F12" s="76">
        <f t="shared" si="0"/>
        <v>0.18089130008277843</v>
      </c>
      <c r="G12" s="77"/>
    </row>
    <row r="13" spans="2:7" ht="14" customHeight="1" x14ac:dyDescent="0.25">
      <c r="B13" s="73">
        <v>2025</v>
      </c>
      <c r="C13" s="219">
        <v>2054.3000000000002</v>
      </c>
      <c r="D13" s="75">
        <f t="shared" si="1"/>
        <v>0.19147874907201201</v>
      </c>
      <c r="E13" s="219">
        <v>9979.7999999999993</v>
      </c>
      <c r="F13" s="220">
        <f t="shared" si="0"/>
        <v>0.20584580853323717</v>
      </c>
      <c r="G13" s="221"/>
    </row>
    <row r="14" spans="2:7" ht="14" customHeight="1" x14ac:dyDescent="0.25">
      <c r="F14" s="146"/>
    </row>
    <row r="15" spans="2:7" ht="14" customHeight="1" x14ac:dyDescent="0.25">
      <c r="B15" s="213" t="s">
        <v>185</v>
      </c>
      <c r="F15" s="146"/>
    </row>
    <row r="16" spans="2:7" ht="14" customHeight="1" x14ac:dyDescent="0.25">
      <c r="F16" s="146"/>
    </row>
    <row r="17" spans="6:28" ht="14" customHeight="1" x14ac:dyDescent="0.25">
      <c r="F17" s="146"/>
    </row>
    <row r="18" spans="6:28" ht="14" customHeight="1" x14ac:dyDescent="0.25">
      <c r="F18" s="146"/>
    </row>
    <row r="19" spans="6:28" ht="14" customHeight="1" x14ac:dyDescent="0.25">
      <c r="F19" s="146"/>
    </row>
    <row r="20" spans="6:28" ht="14" customHeight="1" x14ac:dyDescent="0.25">
      <c r="F20" s="146"/>
    </row>
    <row r="21" spans="6:28" ht="14" customHeight="1" x14ac:dyDescent="0.25"/>
    <row r="22" spans="6:28" ht="14" customHeight="1" x14ac:dyDescent="0.25"/>
    <row r="23" spans="6:28" ht="14" customHeight="1" x14ac:dyDescent="0.25"/>
    <row r="24" spans="6:28" ht="14" customHeight="1" x14ac:dyDescent="0.25"/>
    <row r="25" spans="6:28" ht="14" customHeight="1" x14ac:dyDescent="0.25"/>
    <row r="26" spans="6:28" ht="14" customHeight="1" x14ac:dyDescent="0.25"/>
    <row r="27" spans="6:28" ht="14" customHeight="1" x14ac:dyDescent="0.25"/>
    <row r="28" spans="6:28" ht="14" customHeight="1" x14ac:dyDescent="0.25"/>
    <row r="29" spans="6:28" ht="14" customHeight="1" x14ac:dyDescent="0.25"/>
    <row r="30" spans="6:28" ht="14" customHeight="1" x14ac:dyDescent="0.25"/>
    <row r="31" spans="6:28" ht="14" customHeight="1" x14ac:dyDescent="0.25">
      <c r="L31" s="147"/>
      <c r="M31" s="147"/>
      <c r="N31" s="147"/>
      <c r="O31" s="147"/>
      <c r="P31" s="147"/>
      <c r="Q31" s="147"/>
      <c r="T31" s="148"/>
      <c r="U31" s="148"/>
      <c r="V31" s="148"/>
      <c r="W31" s="148"/>
      <c r="X31" s="148"/>
      <c r="Y31" s="148"/>
      <c r="Z31" s="148"/>
      <c r="AA31" s="148"/>
      <c r="AB31" s="148"/>
    </row>
    <row r="32" spans="6:28" ht="14" customHeight="1" x14ac:dyDescent="0.25">
      <c r="L32" s="147"/>
      <c r="M32" s="147"/>
      <c r="N32" s="147"/>
      <c r="O32" s="147"/>
      <c r="P32" s="147"/>
      <c r="Q32" s="147"/>
      <c r="T32" s="148"/>
      <c r="U32" s="78"/>
      <c r="V32" s="148"/>
      <c r="W32" s="148"/>
      <c r="X32" s="148"/>
      <c r="Y32" s="148"/>
      <c r="Z32" s="148"/>
      <c r="AA32" s="148"/>
      <c r="AB32" s="148"/>
    </row>
    <row r="33" spans="11:28" ht="14" customHeight="1" x14ac:dyDescent="0.25">
      <c r="T33" s="148"/>
      <c r="U33" s="78"/>
      <c r="V33" s="148"/>
      <c r="W33" s="148"/>
      <c r="X33" s="148"/>
      <c r="Y33" s="148"/>
      <c r="Z33" s="148"/>
      <c r="AA33" s="148"/>
      <c r="AB33" s="148"/>
    </row>
    <row r="34" spans="11:28" ht="14" customHeight="1" x14ac:dyDescent="0.25">
      <c r="T34" s="148"/>
      <c r="U34" s="78"/>
      <c r="V34" s="148"/>
      <c r="W34" s="148"/>
      <c r="X34" s="148"/>
      <c r="Y34" s="148"/>
      <c r="Z34" s="148"/>
      <c r="AA34" s="148"/>
      <c r="AB34" s="148"/>
    </row>
    <row r="35" spans="11:28" ht="14" customHeight="1" x14ac:dyDescent="0.25">
      <c r="T35" s="148"/>
      <c r="U35" s="148"/>
      <c r="V35" s="148"/>
      <c r="W35" s="148"/>
      <c r="X35" s="148"/>
      <c r="Y35" s="148"/>
      <c r="Z35" s="148"/>
      <c r="AA35" s="148"/>
      <c r="AB35" s="148"/>
    </row>
    <row r="36" spans="11:28" ht="14" customHeight="1" x14ac:dyDescent="0.25">
      <c r="T36" s="148"/>
      <c r="U36" s="148"/>
      <c r="V36" s="148"/>
      <c r="W36" s="148"/>
      <c r="X36" s="148"/>
      <c r="Y36" s="148"/>
      <c r="Z36" s="148"/>
      <c r="AA36" s="148"/>
      <c r="AB36" s="148"/>
    </row>
    <row r="37" spans="11:28" ht="14" customHeight="1" x14ac:dyDescent="0.25"/>
    <row r="38" spans="11:28" x14ac:dyDescent="0.25">
      <c r="M38" s="149"/>
    </row>
    <row r="39" spans="11:28" x14ac:dyDescent="0.25">
      <c r="M39" s="149"/>
    </row>
    <row r="40" spans="11:28" x14ac:dyDescent="0.25">
      <c r="M40" s="149"/>
    </row>
    <row r="41" spans="11:28" x14ac:dyDescent="0.25">
      <c r="K41" s="149"/>
      <c r="M41" s="149"/>
    </row>
    <row r="42" spans="11:28" x14ac:dyDescent="0.25">
      <c r="K42" s="149"/>
      <c r="M42" s="149"/>
    </row>
    <row r="43" spans="11:28" x14ac:dyDescent="0.25">
      <c r="K43" s="149"/>
    </row>
  </sheetData>
  <phoneticPr fontId="17" type="noConversion"/>
  <pageMargins left="0.7" right="0.7" top="0.75" bottom="0.75" header="0.3" footer="0.3"/>
  <pageSetup paperSize="9" orientation="portrait"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C9E-7F5C-42A2-A077-0233A205E273}">
  <dimension ref="A1:AG310"/>
  <sheetViews>
    <sheetView showGridLines="0" topLeftCell="A171" zoomScaleNormal="100" workbookViewId="0">
      <selection activeCell="H121" sqref="H121"/>
    </sheetView>
  </sheetViews>
  <sheetFormatPr defaultColWidth="10" defaultRowHeight="11.55" x14ac:dyDescent="0.25"/>
  <cols>
    <col min="1" max="1" width="2.69921875" style="150" customWidth="1"/>
    <col min="2" max="2" width="2.69921875" style="151" customWidth="1"/>
    <col min="3" max="3" width="17.8984375" style="153" customWidth="1"/>
    <col min="4" max="16" width="10" style="92"/>
    <col min="17" max="17" width="2.69921875" style="153" customWidth="1"/>
    <col min="18" max="18" width="13.296875" style="153" customWidth="1"/>
    <col min="19" max="16384" width="10" style="153"/>
  </cols>
  <sheetData>
    <row r="1" spans="1:31" s="150" customFormat="1" ht="14" customHeight="1" x14ac:dyDescent="0.25">
      <c r="D1" s="80"/>
      <c r="E1" s="80"/>
      <c r="F1" s="80"/>
      <c r="G1" s="80"/>
      <c r="H1" s="80"/>
      <c r="I1" s="80"/>
      <c r="J1" s="80"/>
      <c r="K1" s="80"/>
      <c r="L1" s="80"/>
      <c r="M1" s="80"/>
      <c r="N1" s="80"/>
      <c r="O1" s="80"/>
      <c r="P1" s="80"/>
    </row>
    <row r="2" spans="1:31" s="151" customFormat="1" ht="14" customHeight="1" x14ac:dyDescent="0.25">
      <c r="A2" s="150"/>
      <c r="C2" s="81" t="s">
        <v>136</v>
      </c>
      <c r="D2" s="82"/>
      <c r="E2" s="82"/>
      <c r="F2" s="82"/>
      <c r="G2" s="82"/>
      <c r="H2" s="82"/>
      <c r="I2" s="82"/>
      <c r="J2" s="82"/>
      <c r="K2" s="82"/>
      <c r="L2" s="82"/>
      <c r="M2" s="82"/>
      <c r="N2" s="82"/>
      <c r="O2" s="82"/>
      <c r="P2" s="82"/>
    </row>
    <row r="3" spans="1:31" ht="14" customHeight="1" x14ac:dyDescent="0.25">
      <c r="C3" s="83" t="s">
        <v>137</v>
      </c>
      <c r="D3" s="83" t="s">
        <v>138</v>
      </c>
      <c r="E3" s="83" t="s">
        <v>139</v>
      </c>
      <c r="F3" s="83" t="s">
        <v>140</v>
      </c>
      <c r="G3" s="83" t="s">
        <v>141</v>
      </c>
      <c r="H3" s="83" t="s">
        <v>142</v>
      </c>
      <c r="I3" s="83" t="s">
        <v>143</v>
      </c>
      <c r="J3" s="83" t="s">
        <v>144</v>
      </c>
      <c r="K3" s="83" t="s">
        <v>145</v>
      </c>
      <c r="L3" s="83" t="s">
        <v>146</v>
      </c>
      <c r="M3" s="83" t="s">
        <v>147</v>
      </c>
      <c r="N3" s="83" t="s">
        <v>148</v>
      </c>
      <c r="O3" s="83" t="s">
        <v>149</v>
      </c>
      <c r="P3" s="83" t="s">
        <v>150</v>
      </c>
      <c r="Q3" s="152"/>
    </row>
    <row r="4" spans="1:31" ht="14" customHeight="1" x14ac:dyDescent="0.25">
      <c r="C4" s="84">
        <v>2023</v>
      </c>
      <c r="D4" s="85">
        <v>26989</v>
      </c>
      <c r="E4" s="85">
        <v>44391</v>
      </c>
      <c r="F4" s="85">
        <v>60901</v>
      </c>
      <c r="G4" s="85">
        <v>41527</v>
      </c>
      <c r="H4" s="85">
        <v>56583</v>
      </c>
      <c r="I4" s="85">
        <v>68918</v>
      </c>
      <c r="J4" s="85">
        <v>63027</v>
      </c>
      <c r="K4" s="85">
        <v>101201</v>
      </c>
      <c r="L4" s="85">
        <v>47097</v>
      </c>
      <c r="M4" s="85">
        <v>53695</v>
      </c>
      <c r="N4" s="85">
        <v>63066</v>
      </c>
      <c r="O4" s="85">
        <v>72548</v>
      </c>
      <c r="P4" s="86">
        <f>SUM(D4:O4)</f>
        <v>699943</v>
      </c>
      <c r="Q4" s="152"/>
    </row>
    <row r="5" spans="1:31" ht="14" customHeight="1" x14ac:dyDescent="0.25">
      <c r="C5" s="84">
        <v>2024</v>
      </c>
      <c r="D5" s="85">
        <v>36817</v>
      </c>
      <c r="E5" s="85">
        <v>41966</v>
      </c>
      <c r="F5" s="85">
        <v>47491</v>
      </c>
      <c r="G5" s="85">
        <v>44803</v>
      </c>
      <c r="H5" s="85">
        <v>43828</v>
      </c>
      <c r="I5" s="85">
        <v>58803</v>
      </c>
      <c r="J5" s="85">
        <v>45573</v>
      </c>
      <c r="K5" s="85">
        <v>40589</v>
      </c>
      <c r="L5" s="85">
        <v>49415</v>
      </c>
      <c r="M5" s="85">
        <v>54828</v>
      </c>
      <c r="N5" s="85">
        <v>55771</v>
      </c>
      <c r="O5" s="85">
        <v>52630</v>
      </c>
      <c r="P5" s="86">
        <f>SUM(D5:O5)</f>
        <v>572514</v>
      </c>
      <c r="Q5" s="152"/>
      <c r="R5" s="151"/>
    </row>
    <row r="6" spans="1:31" ht="14" customHeight="1" x14ac:dyDescent="0.25">
      <c r="C6" s="84">
        <v>2025</v>
      </c>
      <c r="D6" s="85">
        <v>52210</v>
      </c>
      <c r="E6" s="85">
        <v>55483</v>
      </c>
      <c r="F6" s="85">
        <v>69074</v>
      </c>
      <c r="G6" s="85">
        <v>69852</v>
      </c>
      <c r="H6" s="85">
        <v>68241</v>
      </c>
      <c r="I6" s="85">
        <v>72771</v>
      </c>
      <c r="J6" s="85">
        <f>48614+27197</f>
        <v>75811</v>
      </c>
      <c r="K6" s="85">
        <f>39367+23973</f>
        <v>63340</v>
      </c>
      <c r="L6" s="85">
        <f>45495+27685</f>
        <v>73180</v>
      </c>
      <c r="M6" s="85">
        <f>30946+52425</f>
        <v>83371</v>
      </c>
      <c r="N6" s="85">
        <f>55741+32433</f>
        <v>88174</v>
      </c>
      <c r="O6" s="85">
        <f>P6-SUM(D6:N6)</f>
        <v>85033</v>
      </c>
      <c r="P6" s="86">
        <f>545142+311398</f>
        <v>856540</v>
      </c>
      <c r="Q6" s="152"/>
    </row>
    <row r="7" spans="1:31" ht="14" customHeight="1" x14ac:dyDescent="0.25">
      <c r="C7" s="87" t="s">
        <v>118</v>
      </c>
      <c r="D7" s="88">
        <f t="shared" ref="D7:O7" si="0">D6/D5-1</f>
        <v>0.41809490181166309</v>
      </c>
      <c r="E7" s="88">
        <f t="shared" si="0"/>
        <v>0.3220940761568889</v>
      </c>
      <c r="F7" s="88">
        <f t="shared" si="0"/>
        <v>0.45446505653702807</v>
      </c>
      <c r="G7" s="88">
        <f t="shared" si="0"/>
        <v>0.55909202508760569</v>
      </c>
      <c r="H7" s="88">
        <f t="shared" si="0"/>
        <v>0.55701834443734599</v>
      </c>
      <c r="I7" s="88">
        <f t="shared" si="0"/>
        <v>0.23753890107647568</v>
      </c>
      <c r="J7" s="88">
        <f t="shared" si="0"/>
        <v>0.66350690101595244</v>
      </c>
      <c r="K7" s="88">
        <f t="shared" si="0"/>
        <v>0.56052132351129624</v>
      </c>
      <c r="L7" s="88">
        <f t="shared" si="0"/>
        <v>0.48092684407568553</v>
      </c>
      <c r="M7" s="88">
        <f t="shared" si="0"/>
        <v>0.52059166849055227</v>
      </c>
      <c r="N7" s="88">
        <f t="shared" si="0"/>
        <v>0.58100087859281713</v>
      </c>
      <c r="O7" s="88">
        <f t="shared" si="0"/>
        <v>0.61567547026410785</v>
      </c>
      <c r="P7" s="89">
        <f>P6/P5-1</f>
        <v>0.49610315206265709</v>
      </c>
      <c r="Q7" s="152"/>
    </row>
    <row r="8" spans="1:31" ht="14" customHeight="1" x14ac:dyDescent="0.25">
      <c r="C8" s="87" t="s">
        <v>48</v>
      </c>
      <c r="D8" s="88">
        <f>D6/O5-1</f>
        <v>-7.9802394071821769E-3</v>
      </c>
      <c r="E8" s="88">
        <f t="shared" ref="E8:N8" si="1">E6/D6-1</f>
        <v>6.2689140011491951E-2</v>
      </c>
      <c r="F8" s="88">
        <f t="shared" si="1"/>
        <v>0.24495791503703845</v>
      </c>
      <c r="G8" s="88">
        <f t="shared" si="1"/>
        <v>1.126328285606748E-2</v>
      </c>
      <c r="H8" s="88">
        <f t="shared" si="1"/>
        <v>-2.306304758632538E-2</v>
      </c>
      <c r="I8" s="88">
        <f t="shared" si="1"/>
        <v>6.6382380094078375E-2</v>
      </c>
      <c r="J8" s="88">
        <f t="shared" si="1"/>
        <v>4.1774882851685513E-2</v>
      </c>
      <c r="K8" s="88">
        <f t="shared" si="1"/>
        <v>-0.16450119375816175</v>
      </c>
      <c r="L8" s="88">
        <f t="shared" si="1"/>
        <v>0.15535206820334713</v>
      </c>
      <c r="M8" s="88">
        <f t="shared" si="1"/>
        <v>0.13925936048100573</v>
      </c>
      <c r="N8" s="88">
        <f t="shared" si="1"/>
        <v>5.7609960297945406E-2</v>
      </c>
      <c r="O8" s="88">
        <f t="shared" ref="O8" si="2">O6/N6-1</f>
        <v>-3.5622745934175581E-2</v>
      </c>
      <c r="P8" s="88"/>
      <c r="Q8" s="152"/>
    </row>
    <row r="9" spans="1:31" ht="14" customHeight="1" x14ac:dyDescent="0.25">
      <c r="C9" s="84">
        <v>2026</v>
      </c>
      <c r="D9" s="85">
        <f>21790+42692</f>
        <v>64482</v>
      </c>
      <c r="E9" s="85">
        <f>46275+24328</f>
        <v>70603</v>
      </c>
      <c r="F9" s="85">
        <f>70663+29996</f>
        <v>100659</v>
      </c>
      <c r="G9" s="85">
        <f>64350+27546</f>
        <v>91896</v>
      </c>
      <c r="H9" s="85">
        <f>59969+27921</f>
        <v>87890</v>
      </c>
      <c r="I9" s="85"/>
      <c r="J9" s="85"/>
      <c r="K9" s="85"/>
      <c r="L9" s="85"/>
      <c r="M9" s="85"/>
      <c r="N9" s="85"/>
      <c r="O9" s="85"/>
      <c r="P9" s="86"/>
      <c r="Q9" s="152"/>
    </row>
    <row r="10" spans="1:31" ht="14" customHeight="1" x14ac:dyDescent="0.25">
      <c r="C10" s="87" t="s">
        <v>118</v>
      </c>
      <c r="D10" s="88">
        <f>D9/D6-1</f>
        <v>0.23505075656004593</v>
      </c>
      <c r="E10" s="88">
        <f t="shared" ref="E10:F10" si="3">E9/E6-1</f>
        <v>0.27251590577293938</v>
      </c>
      <c r="F10" s="88">
        <f t="shared" si="3"/>
        <v>0.45726322494715821</v>
      </c>
      <c r="G10" s="88">
        <f t="shared" ref="G10:H10" si="4">G9/G6-1</f>
        <v>0.31558151520357325</v>
      </c>
      <c r="H10" s="88">
        <f t="shared" si="4"/>
        <v>0.28793540540144491</v>
      </c>
      <c r="I10" s="88"/>
      <c r="J10" s="88"/>
      <c r="K10" s="88"/>
      <c r="L10" s="88"/>
      <c r="M10" s="88"/>
      <c r="N10" s="88"/>
      <c r="O10" s="88"/>
      <c r="P10" s="89"/>
      <c r="Q10" s="152"/>
    </row>
    <row r="11" spans="1:31" ht="14" customHeight="1" x14ac:dyDescent="0.25">
      <c r="C11" s="87" t="s">
        <v>48</v>
      </c>
      <c r="D11" s="88">
        <f>D9/O6-1</f>
        <v>-0.24168264085707902</v>
      </c>
      <c r="E11" s="88">
        <f>E9/D9-1</f>
        <v>9.4925715703607194E-2</v>
      </c>
      <c r="F11" s="88">
        <f>F9/E9-1</f>
        <v>0.42570429018596934</v>
      </c>
      <c r="G11" s="88">
        <f>G9/F9-1</f>
        <v>-8.7056298989658165E-2</v>
      </c>
      <c r="H11" s="88">
        <f>H9/G9-1</f>
        <v>-4.359275702968568E-2</v>
      </c>
      <c r="I11" s="88"/>
      <c r="J11" s="88"/>
      <c r="K11" s="88"/>
      <c r="L11" s="88"/>
      <c r="M11" s="88"/>
      <c r="N11" s="88"/>
      <c r="O11" s="88"/>
      <c r="P11" s="88"/>
      <c r="Q11" s="152"/>
    </row>
    <row r="12" spans="1:31" ht="14" customHeight="1" x14ac:dyDescent="0.25"/>
    <row r="13" spans="1:31" ht="14" customHeight="1" x14ac:dyDescent="0.25">
      <c r="C13" s="83" t="s">
        <v>151</v>
      </c>
      <c r="D13" s="83" t="s">
        <v>138</v>
      </c>
      <c r="E13" s="83" t="s">
        <v>139</v>
      </c>
      <c r="F13" s="83" t="s">
        <v>140</v>
      </c>
      <c r="G13" s="83" t="s">
        <v>141</v>
      </c>
      <c r="H13" s="83" t="s">
        <v>142</v>
      </c>
      <c r="I13" s="83" t="s">
        <v>143</v>
      </c>
      <c r="J13" s="83" t="s">
        <v>144</v>
      </c>
      <c r="K13" s="83" t="s">
        <v>145</v>
      </c>
      <c r="L13" s="83" t="s">
        <v>146</v>
      </c>
      <c r="M13" s="83" t="s">
        <v>147</v>
      </c>
      <c r="N13" s="83" t="s">
        <v>148</v>
      </c>
      <c r="O13" s="83" t="s">
        <v>149</v>
      </c>
      <c r="P13" s="83" t="s">
        <v>150</v>
      </c>
      <c r="Q13" s="154"/>
      <c r="R13" s="154"/>
      <c r="S13" s="154"/>
      <c r="T13" s="154"/>
      <c r="U13" s="154"/>
      <c r="V13" s="154"/>
      <c r="W13" s="154"/>
      <c r="X13" s="154"/>
      <c r="Y13" s="154"/>
      <c r="Z13" s="154"/>
      <c r="AA13" s="154"/>
      <c r="AB13" s="154"/>
      <c r="AC13" s="154"/>
      <c r="AD13" s="154"/>
      <c r="AE13" s="154"/>
    </row>
    <row r="14" spans="1:31" ht="14" customHeight="1" x14ac:dyDescent="0.25">
      <c r="C14" s="84">
        <v>2023</v>
      </c>
      <c r="D14" s="90">
        <f>D4/D20</f>
        <v>0.15056876823600954</v>
      </c>
      <c r="E14" s="90">
        <f t="shared" ref="E14:P14" si="5">E4/E20</f>
        <v>0.21527084040541195</v>
      </c>
      <c r="F14" s="90">
        <f t="shared" si="5"/>
        <v>0.21645146271160537</v>
      </c>
      <c r="G14" s="90">
        <f t="shared" si="5"/>
        <v>0.20461992539924218</v>
      </c>
      <c r="H14" s="90">
        <f t="shared" si="5"/>
        <v>0.22911250941425135</v>
      </c>
      <c r="I14" s="90">
        <f t="shared" si="5"/>
        <v>0.24601358611260837</v>
      </c>
      <c r="J14" s="90">
        <f t="shared" si="5"/>
        <v>0.25907504614081889</v>
      </c>
      <c r="K14" s="90">
        <f t="shared" si="5"/>
        <v>0.37013426378023312</v>
      </c>
      <c r="L14" s="90">
        <f t="shared" si="5"/>
        <v>0.2097843226340968</v>
      </c>
      <c r="M14" s="90">
        <f t="shared" si="5"/>
        <v>0.24522855877127681</v>
      </c>
      <c r="N14" s="90">
        <f t="shared" si="5"/>
        <v>0.25667783199905575</v>
      </c>
      <c r="O14" s="90">
        <f t="shared" si="5"/>
        <v>0.2999301315098622</v>
      </c>
      <c r="P14" s="91">
        <f t="shared" si="5"/>
        <v>0.24605947601234476</v>
      </c>
      <c r="Q14" s="154"/>
      <c r="R14" s="154"/>
      <c r="S14" s="154"/>
      <c r="T14" s="154"/>
      <c r="U14" s="154"/>
      <c r="V14" s="154"/>
      <c r="W14" s="154"/>
      <c r="X14" s="154"/>
      <c r="Y14" s="154"/>
      <c r="Z14" s="154"/>
      <c r="AA14" s="154"/>
      <c r="AB14" s="154"/>
      <c r="AC14" s="154"/>
      <c r="AD14" s="154"/>
      <c r="AE14" s="154"/>
    </row>
    <row r="15" spans="1:31" ht="14" customHeight="1" x14ac:dyDescent="0.25">
      <c r="C15" s="84">
        <v>2024</v>
      </c>
      <c r="D15" s="90">
        <f>D5/D21</f>
        <v>0.17240216714351941</v>
      </c>
      <c r="E15" s="90">
        <f t="shared" ref="E15:P15" si="6">E5/E21</f>
        <v>0.19304653430732147</v>
      </c>
      <c r="F15" s="90">
        <f t="shared" si="6"/>
        <v>0.17999651309106895</v>
      </c>
      <c r="G15" s="90">
        <f t="shared" si="6"/>
        <v>0.18429712630912126</v>
      </c>
      <c r="H15" s="90">
        <f t="shared" si="6"/>
        <v>0.18537802685841176</v>
      </c>
      <c r="I15" s="90">
        <f t="shared" si="6"/>
        <v>0.19777081952988104</v>
      </c>
      <c r="J15" s="90">
        <f t="shared" si="6"/>
        <v>0.19127182986867453</v>
      </c>
      <c r="K15" s="90">
        <f t="shared" si="6"/>
        <v>0.2056993138119419</v>
      </c>
      <c r="L15" s="90">
        <f t="shared" si="6"/>
        <v>0.23660748486937869</v>
      </c>
      <c r="M15" s="90">
        <f t="shared" si="6"/>
        <v>0.23633573571502467</v>
      </c>
      <c r="N15" s="90">
        <f t="shared" si="6"/>
        <v>0.22806120779900549</v>
      </c>
      <c r="O15" s="90">
        <f t="shared" si="6"/>
        <v>0.23420152099714758</v>
      </c>
      <c r="P15" s="91">
        <f t="shared" si="6"/>
        <v>0.20321147923335953</v>
      </c>
      <c r="Q15" s="154"/>
      <c r="R15" s="154"/>
      <c r="S15" s="154"/>
      <c r="T15" s="154"/>
      <c r="U15" s="154"/>
      <c r="V15" s="154"/>
      <c r="W15" s="154"/>
      <c r="X15" s="154"/>
      <c r="Y15" s="154"/>
      <c r="Z15" s="154"/>
      <c r="AA15" s="154"/>
      <c r="AB15" s="154"/>
      <c r="AC15" s="154"/>
      <c r="AD15" s="154"/>
      <c r="AE15" s="154"/>
    </row>
    <row r="16" spans="1:31" ht="14" customHeight="1" x14ac:dyDescent="0.25">
      <c r="C16" s="84">
        <v>2025</v>
      </c>
      <c r="D16" s="90">
        <f>D6/D22</f>
        <v>0.25144480832209593</v>
      </c>
      <c r="E16" s="90">
        <f t="shared" ref="E16:P16" si="7">E6/E22</f>
        <v>0.27273218832643509</v>
      </c>
      <c r="F16" s="90">
        <f t="shared" si="7"/>
        <v>0.27248448699590133</v>
      </c>
      <c r="G16" s="90">
        <f t="shared" si="7"/>
        <v>0.28777891302198344</v>
      </c>
      <c r="H16" s="90">
        <f t="shared" si="7"/>
        <v>0.28517281871481881</v>
      </c>
      <c r="I16" s="90">
        <f t="shared" si="7"/>
        <v>0.2840475735090342</v>
      </c>
      <c r="J16" s="90">
        <f t="shared" si="7"/>
        <v>0.28629315488553714</v>
      </c>
      <c r="K16" s="90">
        <f t="shared" si="7"/>
        <v>0.30565220118805764</v>
      </c>
      <c r="L16" s="90">
        <f t="shared" si="7"/>
        <v>0.31070615807886959</v>
      </c>
      <c r="M16" s="90">
        <f t="shared" si="7"/>
        <v>0.33330668084579002</v>
      </c>
      <c r="N16" s="90">
        <f t="shared" si="7"/>
        <v>0.35175189790602024</v>
      </c>
      <c r="O16" s="90">
        <f t="shared" si="7"/>
        <v>0.34504684729283919</v>
      </c>
      <c r="P16" s="91">
        <f t="shared" si="7"/>
        <v>0.29974198546957909</v>
      </c>
      <c r="Q16" s="154"/>
      <c r="S16" s="154"/>
      <c r="T16" s="154"/>
      <c r="U16" s="154"/>
      <c r="V16" s="154"/>
      <c r="W16" s="154"/>
      <c r="X16" s="154"/>
      <c r="Y16" s="154"/>
      <c r="Z16" s="154"/>
      <c r="AA16" s="154"/>
      <c r="AB16" s="154"/>
      <c r="AC16" s="154"/>
      <c r="AD16" s="154"/>
      <c r="AE16" s="154"/>
    </row>
    <row r="17" spans="2:31" ht="14" customHeight="1" x14ac:dyDescent="0.25">
      <c r="C17" s="84">
        <v>2026</v>
      </c>
      <c r="D17" s="90">
        <f>D9/D25</f>
        <v>0.33241399930921067</v>
      </c>
      <c r="E17" s="90">
        <f>E9/E25</f>
        <v>0.3341964006778313</v>
      </c>
      <c r="F17" s="90">
        <f>F9/F25</f>
        <v>0.34219016117024348</v>
      </c>
      <c r="G17" s="90">
        <f>G9/G25</f>
        <v>0.36881880536034645</v>
      </c>
      <c r="H17" s="90">
        <f>H9/H25</f>
        <v>0.36705255420801175</v>
      </c>
      <c r="I17" s="90"/>
      <c r="J17" s="90"/>
      <c r="K17" s="90"/>
      <c r="L17" s="90"/>
      <c r="M17" s="90"/>
      <c r="N17" s="90"/>
      <c r="O17" s="90"/>
      <c r="P17" s="91"/>
      <c r="Q17" s="154"/>
      <c r="S17" s="154"/>
      <c r="T17" s="154"/>
      <c r="U17" s="154"/>
      <c r="V17" s="154"/>
      <c r="W17" s="154"/>
      <c r="X17" s="154"/>
      <c r="Y17" s="154"/>
      <c r="Z17" s="154"/>
      <c r="AA17" s="154"/>
      <c r="AB17" s="154"/>
      <c r="AC17" s="154"/>
      <c r="AD17" s="154"/>
      <c r="AE17" s="154"/>
    </row>
    <row r="18" spans="2:31" ht="14" customHeight="1" x14ac:dyDescent="0.25"/>
    <row r="19" spans="2:31" ht="14" customHeight="1" x14ac:dyDescent="0.25">
      <c r="C19" s="83" t="s">
        <v>152</v>
      </c>
      <c r="D19" s="83" t="s">
        <v>138</v>
      </c>
      <c r="E19" s="83" t="s">
        <v>139</v>
      </c>
      <c r="F19" s="83" t="s">
        <v>140</v>
      </c>
      <c r="G19" s="83" t="s">
        <v>141</v>
      </c>
      <c r="H19" s="83" t="s">
        <v>142</v>
      </c>
      <c r="I19" s="83" t="s">
        <v>143</v>
      </c>
      <c r="J19" s="83" t="s">
        <v>144</v>
      </c>
      <c r="K19" s="83" t="s">
        <v>145</v>
      </c>
      <c r="L19" s="83" t="s">
        <v>146</v>
      </c>
      <c r="M19" s="83" t="s">
        <v>147</v>
      </c>
      <c r="N19" s="83" t="s">
        <v>148</v>
      </c>
      <c r="O19" s="83" t="s">
        <v>149</v>
      </c>
      <c r="P19" s="83" t="s">
        <v>150</v>
      </c>
      <c r="Q19" s="154"/>
      <c r="R19" s="154"/>
      <c r="S19" s="154"/>
      <c r="T19" s="154"/>
      <c r="U19" s="154"/>
      <c r="V19" s="154"/>
      <c r="W19" s="154"/>
      <c r="X19" s="154"/>
      <c r="Y19" s="154"/>
      <c r="Z19" s="154"/>
      <c r="AA19" s="154"/>
      <c r="AB19" s="154"/>
      <c r="AC19" s="154"/>
      <c r="AD19" s="154"/>
      <c r="AE19" s="154"/>
    </row>
    <row r="20" spans="2:31" ht="14" customHeight="1" x14ac:dyDescent="0.25">
      <c r="C20" s="84">
        <v>2023</v>
      </c>
      <c r="D20" s="85">
        <v>179247</v>
      </c>
      <c r="E20" s="85">
        <v>206210</v>
      </c>
      <c r="F20" s="85">
        <v>281361</v>
      </c>
      <c r="G20" s="85">
        <v>202947</v>
      </c>
      <c r="H20" s="85">
        <v>246966</v>
      </c>
      <c r="I20" s="85">
        <v>280139</v>
      </c>
      <c r="J20" s="85">
        <v>243277</v>
      </c>
      <c r="K20" s="85">
        <v>273417</v>
      </c>
      <c r="L20" s="85">
        <v>224502</v>
      </c>
      <c r="M20" s="85">
        <v>218959</v>
      </c>
      <c r="N20" s="85">
        <v>245701</v>
      </c>
      <c r="O20" s="85">
        <v>241883</v>
      </c>
      <c r="P20" s="86">
        <f>SUM(D20:O20)</f>
        <v>2844609</v>
      </c>
      <c r="Q20" s="154"/>
      <c r="R20" s="154"/>
      <c r="S20" s="154"/>
      <c r="T20" s="154"/>
      <c r="U20" s="154"/>
      <c r="V20" s="154"/>
      <c r="W20" s="154"/>
      <c r="X20" s="154"/>
      <c r="Y20" s="154"/>
      <c r="Z20" s="154"/>
      <c r="AA20" s="154"/>
      <c r="AB20" s="154"/>
      <c r="AC20" s="154"/>
      <c r="AD20" s="154"/>
      <c r="AE20" s="154"/>
    </row>
    <row r="21" spans="2:31" ht="14" customHeight="1" x14ac:dyDescent="0.25">
      <c r="C21" s="84">
        <v>2024</v>
      </c>
      <c r="D21" s="85">
        <v>213553</v>
      </c>
      <c r="E21" s="85">
        <v>217388</v>
      </c>
      <c r="F21" s="85">
        <v>263844</v>
      </c>
      <c r="G21" s="85">
        <v>243102</v>
      </c>
      <c r="H21" s="85">
        <v>236425</v>
      </c>
      <c r="I21" s="85">
        <v>297329</v>
      </c>
      <c r="J21" s="85">
        <v>238263</v>
      </c>
      <c r="K21" s="85">
        <v>197322</v>
      </c>
      <c r="L21" s="85">
        <v>208848</v>
      </c>
      <c r="M21" s="85">
        <v>231992</v>
      </c>
      <c r="N21" s="85">
        <v>244544</v>
      </c>
      <c r="O21" s="85">
        <v>224721</v>
      </c>
      <c r="P21" s="86">
        <f>SUM(D21:O21)</f>
        <v>2817331</v>
      </c>
      <c r="Q21" s="154"/>
      <c r="R21" s="154"/>
      <c r="S21" s="154"/>
      <c r="T21" s="154"/>
      <c r="U21" s="154"/>
      <c r="V21" s="154"/>
      <c r="W21" s="154"/>
      <c r="X21" s="154"/>
      <c r="Y21" s="154"/>
      <c r="Z21" s="154"/>
      <c r="AA21" s="154"/>
      <c r="AB21" s="154"/>
      <c r="AC21" s="154"/>
      <c r="AD21" s="154"/>
      <c r="AE21" s="154"/>
    </row>
    <row r="22" spans="2:31" ht="14" customHeight="1" x14ac:dyDescent="0.25">
      <c r="C22" s="84">
        <v>2025</v>
      </c>
      <c r="D22" s="85">
        <v>207640</v>
      </c>
      <c r="E22" s="85">
        <v>203434</v>
      </c>
      <c r="F22" s="85">
        <v>253497</v>
      </c>
      <c r="G22" s="85">
        <v>242728</v>
      </c>
      <c r="H22" s="85">
        <v>239297</v>
      </c>
      <c r="I22" s="85">
        <v>256193</v>
      </c>
      <c r="J22" s="85">
        <v>264802</v>
      </c>
      <c r="K22" s="85">
        <v>207229</v>
      </c>
      <c r="L22" s="85">
        <v>235528</v>
      </c>
      <c r="M22" s="85">
        <v>250133</v>
      </c>
      <c r="N22" s="85">
        <v>250671</v>
      </c>
      <c r="O22" s="85">
        <v>246439</v>
      </c>
      <c r="P22" s="86">
        <f>SUM(D22:O22)</f>
        <v>2857591</v>
      </c>
      <c r="Q22" s="154"/>
      <c r="S22" s="154"/>
      <c r="T22" s="154"/>
      <c r="U22" s="154"/>
      <c r="V22" s="154"/>
      <c r="W22" s="154"/>
      <c r="X22" s="154"/>
      <c r="Y22" s="154"/>
      <c r="Z22" s="154"/>
      <c r="AA22" s="154"/>
      <c r="AB22" s="154"/>
      <c r="AC22" s="154"/>
      <c r="AD22" s="154"/>
      <c r="AE22" s="154"/>
    </row>
    <row r="23" spans="2:31" ht="14" customHeight="1" x14ac:dyDescent="0.25">
      <c r="C23" s="87" t="s">
        <v>118</v>
      </c>
      <c r="D23" s="88">
        <f t="shared" ref="D23:P23" si="8">D22/D21-1</f>
        <v>-2.7688676815591395E-2</v>
      </c>
      <c r="E23" s="88">
        <f t="shared" si="8"/>
        <v>-6.4189375678510352E-2</v>
      </c>
      <c r="F23" s="88">
        <f t="shared" si="8"/>
        <v>-3.9216355118933954E-2</v>
      </c>
      <c r="G23" s="88">
        <f t="shared" si="8"/>
        <v>-1.5384488815394226E-3</v>
      </c>
      <c r="H23" s="88">
        <f t="shared" si="8"/>
        <v>1.2147615522893007E-2</v>
      </c>
      <c r="I23" s="88">
        <f t="shared" si="8"/>
        <v>-0.1383517921225309</v>
      </c>
      <c r="J23" s="88">
        <f t="shared" si="8"/>
        <v>0.11138531790500417</v>
      </c>
      <c r="K23" s="88">
        <f t="shared" si="8"/>
        <v>5.0207275417844865E-2</v>
      </c>
      <c r="L23" s="88">
        <f t="shared" si="8"/>
        <v>0.1277484103271278</v>
      </c>
      <c r="M23" s="88">
        <f t="shared" si="8"/>
        <v>7.8196661953860547E-2</v>
      </c>
      <c r="N23" s="88">
        <f t="shared" si="8"/>
        <v>2.5054795864956736E-2</v>
      </c>
      <c r="O23" s="88">
        <f t="shared" si="8"/>
        <v>9.664428335580566E-2</v>
      </c>
      <c r="P23" s="89">
        <f t="shared" si="8"/>
        <v>1.4290120685144903E-2</v>
      </c>
      <c r="Q23" s="154"/>
      <c r="R23" s="154"/>
      <c r="S23" s="154"/>
      <c r="T23" s="154"/>
      <c r="U23" s="154"/>
      <c r="V23" s="154"/>
      <c r="W23" s="154"/>
      <c r="X23" s="154"/>
      <c r="Y23" s="154"/>
      <c r="Z23" s="154"/>
      <c r="AA23" s="154"/>
      <c r="AB23" s="154"/>
      <c r="AC23" s="154"/>
      <c r="AD23" s="154"/>
      <c r="AE23" s="154"/>
    </row>
    <row r="24" spans="2:31" ht="14" customHeight="1" x14ac:dyDescent="0.25">
      <c r="C24" s="87" t="s">
        <v>48</v>
      </c>
      <c r="D24" s="88">
        <f>D22/O21-1</f>
        <v>-7.6009807717124844E-2</v>
      </c>
      <c r="E24" s="88">
        <f t="shared" ref="E24:O24" si="9">E22/D22-1</f>
        <v>-2.0256212675785035E-2</v>
      </c>
      <c r="F24" s="88">
        <f t="shared" si="9"/>
        <v>0.24608964086632512</v>
      </c>
      <c r="G24" s="88">
        <f t="shared" si="9"/>
        <v>-4.2481765070198074E-2</v>
      </c>
      <c r="H24" s="88">
        <f t="shared" si="9"/>
        <v>-1.4135163639959147E-2</v>
      </c>
      <c r="I24" s="88">
        <f t="shared" si="9"/>
        <v>7.0606819141067367E-2</v>
      </c>
      <c r="J24" s="88">
        <f t="shared" si="9"/>
        <v>3.3603572306815543E-2</v>
      </c>
      <c r="K24" s="88">
        <f t="shared" si="9"/>
        <v>-0.21741905272618789</v>
      </c>
      <c r="L24" s="88">
        <f t="shared" si="9"/>
        <v>0.13655907233061004</v>
      </c>
      <c r="M24" s="88">
        <f t="shared" si="9"/>
        <v>6.2009612445229401E-2</v>
      </c>
      <c r="N24" s="88">
        <f t="shared" si="9"/>
        <v>2.1508557447438292E-3</v>
      </c>
      <c r="O24" s="88">
        <f t="shared" si="9"/>
        <v>-1.6882686868445074E-2</v>
      </c>
      <c r="P24" s="88"/>
      <c r="Q24" s="154"/>
      <c r="S24" s="154"/>
      <c r="T24" s="154"/>
      <c r="U24" s="154"/>
      <c r="V24" s="154"/>
      <c r="W24" s="154"/>
      <c r="X24" s="154"/>
      <c r="Y24" s="154"/>
      <c r="Z24" s="154"/>
      <c r="AA24" s="154"/>
      <c r="AB24" s="154"/>
      <c r="AC24" s="154"/>
      <c r="AD24" s="154"/>
      <c r="AE24" s="154"/>
    </row>
    <row r="25" spans="2:31" ht="14" customHeight="1" x14ac:dyDescent="0.25">
      <c r="C25" s="84">
        <v>2026</v>
      </c>
      <c r="D25" s="85">
        <v>193981</v>
      </c>
      <c r="E25" s="85">
        <v>211262</v>
      </c>
      <c r="F25" s="85">
        <v>294161</v>
      </c>
      <c r="G25" s="85">
        <v>249163</v>
      </c>
      <c r="H25" s="85">
        <v>239448</v>
      </c>
      <c r="I25" s="85"/>
      <c r="J25" s="85"/>
      <c r="K25" s="85"/>
      <c r="L25" s="85"/>
      <c r="M25" s="85"/>
      <c r="N25" s="85"/>
      <c r="O25" s="85"/>
      <c r="P25" s="86"/>
      <c r="Q25" s="154"/>
      <c r="S25" s="154"/>
      <c r="T25" s="154"/>
      <c r="U25" s="154"/>
      <c r="V25" s="154"/>
      <c r="W25" s="154"/>
      <c r="X25" s="154"/>
      <c r="Y25" s="154"/>
      <c r="Z25" s="154"/>
      <c r="AA25" s="154"/>
      <c r="AB25" s="154"/>
      <c r="AC25" s="154"/>
      <c r="AD25" s="154"/>
      <c r="AE25" s="154"/>
    </row>
    <row r="26" spans="2:31" ht="14" customHeight="1" x14ac:dyDescent="0.25">
      <c r="C26" s="87" t="s">
        <v>118</v>
      </c>
      <c r="D26" s="88">
        <f>D25/D22-1</f>
        <v>-6.578212290502794E-2</v>
      </c>
      <c r="E26" s="88">
        <f t="shared" ref="E26:F26" si="10">E25/E22-1</f>
        <v>3.8479310243125564E-2</v>
      </c>
      <c r="F26" s="88">
        <f t="shared" si="10"/>
        <v>0.1604121547789521</v>
      </c>
      <c r="G26" s="88">
        <f t="shared" ref="G26:H26" si="11">G25/G22-1</f>
        <v>2.651115652087932E-2</v>
      </c>
      <c r="H26" s="88">
        <f t="shared" si="11"/>
        <v>6.3101501481432898E-4</v>
      </c>
      <c r="I26" s="88"/>
      <c r="J26" s="88"/>
      <c r="K26" s="88"/>
      <c r="L26" s="88"/>
      <c r="M26" s="88"/>
      <c r="N26" s="88"/>
      <c r="O26" s="88"/>
      <c r="P26" s="89"/>
      <c r="Q26" s="152"/>
    </row>
    <row r="27" spans="2:31" ht="14" customHeight="1" x14ac:dyDescent="0.25">
      <c r="C27" s="87" t="s">
        <v>48</v>
      </c>
      <c r="D27" s="88">
        <f>D25/O22-1</f>
        <v>-0.21286403531908504</v>
      </c>
      <c r="E27" s="88">
        <f>E25/D25-1</f>
        <v>8.9086044509513851E-2</v>
      </c>
      <c r="F27" s="88">
        <f>F25/E25-1</f>
        <v>0.39239901165377589</v>
      </c>
      <c r="G27" s="88">
        <f>G25/F25-1</f>
        <v>-0.15297065212587668</v>
      </c>
      <c r="H27" s="88">
        <f>H25/G25-1</f>
        <v>-3.8990540329021606E-2</v>
      </c>
      <c r="I27" s="88"/>
      <c r="J27" s="88"/>
      <c r="K27" s="88"/>
      <c r="L27" s="88"/>
      <c r="M27" s="88"/>
      <c r="N27" s="88"/>
      <c r="O27" s="88"/>
      <c r="P27" s="88"/>
      <c r="Q27" s="152"/>
    </row>
    <row r="28" spans="2:31" ht="14" customHeight="1" x14ac:dyDescent="0.25">
      <c r="C28" s="155" t="s">
        <v>153</v>
      </c>
    </row>
    <row r="29" spans="2:31" s="150" customFormat="1" ht="14" customHeight="1" x14ac:dyDescent="0.25">
      <c r="D29" s="80"/>
      <c r="E29" s="80"/>
      <c r="F29" s="80"/>
      <c r="G29" s="80"/>
      <c r="H29" s="80"/>
      <c r="I29" s="80"/>
      <c r="J29" s="80"/>
      <c r="K29" s="80"/>
      <c r="L29" s="80"/>
      <c r="M29" s="80"/>
      <c r="N29" s="80"/>
      <c r="O29" s="80"/>
      <c r="P29" s="80"/>
    </row>
    <row r="30" spans="2:31" ht="14" customHeight="1" x14ac:dyDescent="0.25">
      <c r="B30" s="153"/>
      <c r="C30" s="81" t="s">
        <v>154</v>
      </c>
    </row>
    <row r="31" spans="2:31" ht="14" customHeight="1" x14ac:dyDescent="0.25">
      <c r="C31" s="83" t="s">
        <v>137</v>
      </c>
      <c r="D31" s="83" t="s">
        <v>138</v>
      </c>
      <c r="E31" s="83" t="s">
        <v>139</v>
      </c>
      <c r="F31" s="83" t="s">
        <v>140</v>
      </c>
      <c r="G31" s="83" t="s">
        <v>141</v>
      </c>
      <c r="H31" s="83" t="s">
        <v>142</v>
      </c>
      <c r="I31" s="83" t="s">
        <v>143</v>
      </c>
      <c r="J31" s="83" t="s">
        <v>144</v>
      </c>
      <c r="K31" s="83" t="s">
        <v>145</v>
      </c>
      <c r="L31" s="83" t="s">
        <v>146</v>
      </c>
      <c r="M31" s="83" t="s">
        <v>147</v>
      </c>
      <c r="N31" s="83" t="s">
        <v>148</v>
      </c>
      <c r="O31" s="83" t="s">
        <v>149</v>
      </c>
      <c r="P31" s="83" t="s">
        <v>150</v>
      </c>
      <c r="Q31" s="152"/>
    </row>
    <row r="32" spans="2:31" ht="14" customHeight="1" x14ac:dyDescent="0.25">
      <c r="C32" s="84">
        <v>2023</v>
      </c>
      <c r="D32" s="85">
        <v>26402</v>
      </c>
      <c r="E32" s="85">
        <v>17033</v>
      </c>
      <c r="F32" s="85">
        <v>64559</v>
      </c>
      <c r="G32" s="85">
        <v>29117</v>
      </c>
      <c r="H32" s="85">
        <v>33538</v>
      </c>
      <c r="I32" s="85">
        <v>44470</v>
      </c>
      <c r="J32" s="85">
        <v>34712</v>
      </c>
      <c r="K32" s="85">
        <v>23844</v>
      </c>
      <c r="L32" s="85">
        <v>63858</v>
      </c>
      <c r="M32" s="85">
        <v>38228</v>
      </c>
      <c r="N32" s="85">
        <v>40230</v>
      </c>
      <c r="O32" s="85">
        <v>40003</v>
      </c>
      <c r="P32" s="86">
        <f>SUM(D32:O32)</f>
        <v>455994</v>
      </c>
      <c r="Q32" s="152"/>
    </row>
    <row r="33" spans="3:31" ht="14" customHeight="1" x14ac:dyDescent="0.25">
      <c r="C33" s="84">
        <v>2024</v>
      </c>
      <c r="D33" s="85">
        <v>32879</v>
      </c>
      <c r="E33" s="85">
        <v>21089</v>
      </c>
      <c r="F33" s="85">
        <v>72905</v>
      </c>
      <c r="G33" s="85">
        <v>33210</v>
      </c>
      <c r="H33" s="85">
        <v>37897</v>
      </c>
      <c r="I33" s="85">
        <v>50638</v>
      </c>
      <c r="J33" s="85">
        <v>40484</v>
      </c>
      <c r="K33" s="85">
        <v>24899</v>
      </c>
      <c r="L33" s="85">
        <v>80873</v>
      </c>
      <c r="M33" s="85">
        <v>43634</v>
      </c>
      <c r="N33" s="85">
        <v>54268</v>
      </c>
      <c r="O33" s="85">
        <v>56372</v>
      </c>
      <c r="P33" s="86">
        <f>SUM(D33:O33)</f>
        <v>549148</v>
      </c>
      <c r="Q33" s="152"/>
    </row>
    <row r="34" spans="3:31" ht="14" customHeight="1" x14ac:dyDescent="0.25">
      <c r="C34" s="84">
        <v>2025</v>
      </c>
      <c r="D34" s="85">
        <v>42232</v>
      </c>
      <c r="E34" s="85">
        <v>28517</v>
      </c>
      <c r="F34" s="85">
        <v>103128</v>
      </c>
      <c r="G34" s="85">
        <v>38631</v>
      </c>
      <c r="H34" s="85">
        <v>50636</v>
      </c>
      <c r="I34" s="85">
        <v>68736</v>
      </c>
      <c r="J34" s="85">
        <f>29825+17489</f>
        <v>47314</v>
      </c>
      <c r="K34" s="85">
        <f>21969+9803</f>
        <v>31772</v>
      </c>
      <c r="L34" s="85">
        <f>72779+38308</f>
        <v>111087</v>
      </c>
      <c r="M34" s="85">
        <f>36830+17601</f>
        <v>54431</v>
      </c>
      <c r="N34" s="85">
        <f>39965+18005</f>
        <v>57970</v>
      </c>
      <c r="O34" s="85">
        <f>47139+16898</f>
        <v>64037</v>
      </c>
      <c r="P34" s="86">
        <f>SUM(D34:O34)</f>
        <v>698491</v>
      </c>
      <c r="Q34" s="152"/>
    </row>
    <row r="35" spans="3:31" ht="14" customHeight="1" x14ac:dyDescent="0.25">
      <c r="C35" s="87" t="s">
        <v>118</v>
      </c>
      <c r="D35" s="88">
        <f t="shared" ref="D35:O35" si="12">D34/D33-1</f>
        <v>0.28446728915112995</v>
      </c>
      <c r="E35" s="88">
        <f t="shared" si="12"/>
        <v>0.35222153729432404</v>
      </c>
      <c r="F35" s="88">
        <f t="shared" si="12"/>
        <v>0.4145531856525615</v>
      </c>
      <c r="G35" s="88">
        <f t="shared" si="12"/>
        <v>0.16323396567298998</v>
      </c>
      <c r="H35" s="88">
        <f t="shared" si="12"/>
        <v>0.33614798005119129</v>
      </c>
      <c r="I35" s="88">
        <f t="shared" si="12"/>
        <v>0.35739958134207517</v>
      </c>
      <c r="J35" s="88">
        <f t="shared" si="12"/>
        <v>0.16870862562987843</v>
      </c>
      <c r="K35" s="88">
        <f t="shared" si="12"/>
        <v>0.27603518213582867</v>
      </c>
      <c r="L35" s="88">
        <f t="shared" si="12"/>
        <v>0.37359811061788228</v>
      </c>
      <c r="M35" s="88">
        <f t="shared" si="12"/>
        <v>0.24744465325205112</v>
      </c>
      <c r="N35" s="88">
        <f t="shared" si="12"/>
        <v>6.8216997125377654E-2</v>
      </c>
      <c r="O35" s="88">
        <f t="shared" si="12"/>
        <v>0.13597175902930525</v>
      </c>
      <c r="P35" s="89">
        <f>P34/P33-1</f>
        <v>0.27195400875538112</v>
      </c>
      <c r="Q35" s="152"/>
    </row>
    <row r="36" spans="3:31" ht="14" customHeight="1" x14ac:dyDescent="0.25">
      <c r="C36" s="87" t="s">
        <v>48</v>
      </c>
      <c r="D36" s="88">
        <f>D34/O33-1</f>
        <v>-0.25083374725040797</v>
      </c>
      <c r="E36" s="88">
        <f t="shared" ref="E36:N36" si="13">E34/D34-1</f>
        <v>-0.32475374123887102</v>
      </c>
      <c r="F36" s="88">
        <f t="shared" si="13"/>
        <v>2.6163691832941756</v>
      </c>
      <c r="G36" s="88">
        <f t="shared" si="13"/>
        <v>-0.62540726087968346</v>
      </c>
      <c r="H36" s="88">
        <f t="shared" si="13"/>
        <v>0.31076078796821216</v>
      </c>
      <c r="I36" s="88">
        <f t="shared" si="13"/>
        <v>0.35745319535508324</v>
      </c>
      <c r="J36" s="88">
        <f t="shared" si="13"/>
        <v>-0.31165619180633142</v>
      </c>
      <c r="K36" s="88">
        <f t="shared" si="13"/>
        <v>-0.32848628312972905</v>
      </c>
      <c r="L36" s="88">
        <f t="shared" si="13"/>
        <v>2.4963804607830795</v>
      </c>
      <c r="M36" s="88">
        <f t="shared" si="13"/>
        <v>-0.51001467318408089</v>
      </c>
      <c r="N36" s="88">
        <f t="shared" si="13"/>
        <v>6.5018096305414108E-2</v>
      </c>
      <c r="O36" s="88">
        <f t="shared" ref="O36" si="14">O34/N34-1</f>
        <v>0.10465758150767646</v>
      </c>
      <c r="P36" s="88"/>
      <c r="Q36" s="152"/>
    </row>
    <row r="37" spans="3:31" ht="14" customHeight="1" x14ac:dyDescent="0.25">
      <c r="C37" s="84">
        <v>2026</v>
      </c>
      <c r="D37" s="85">
        <f>29654+18557</f>
        <v>48211</v>
      </c>
      <c r="E37" s="85">
        <f>21840+10438</f>
        <v>32278</v>
      </c>
      <c r="F37" s="85">
        <f>86120+49671</f>
        <v>135791</v>
      </c>
      <c r="G37" s="85">
        <f>39084+20597</f>
        <v>59681</v>
      </c>
      <c r="H37" s="85">
        <f>43931+22167</f>
        <v>66098</v>
      </c>
      <c r="I37" s="85"/>
      <c r="J37" s="85"/>
      <c r="K37" s="85"/>
      <c r="L37" s="85"/>
      <c r="M37" s="85"/>
      <c r="N37" s="85"/>
      <c r="O37" s="85"/>
      <c r="P37" s="86"/>
      <c r="Q37" s="152"/>
    </row>
    <row r="38" spans="3:31" ht="14" customHeight="1" x14ac:dyDescent="0.25">
      <c r="C38" s="87" t="s">
        <v>118</v>
      </c>
      <c r="D38" s="88">
        <f>D37/D34-1</f>
        <v>0.14157510892214442</v>
      </c>
      <c r="E38" s="88">
        <f>E37/E34-1</f>
        <v>0.13188624329347398</v>
      </c>
      <c r="F38" s="88">
        <f>F37/F34-1</f>
        <v>0.31672290745481346</v>
      </c>
      <c r="G38" s="88">
        <f>G37/G34-1</f>
        <v>0.54489917423830603</v>
      </c>
      <c r="H38" s="88">
        <f>H37/H34-1</f>
        <v>0.3053558732917292</v>
      </c>
      <c r="I38" s="88"/>
      <c r="J38" s="88"/>
      <c r="K38" s="88"/>
      <c r="L38" s="88"/>
      <c r="M38" s="88"/>
      <c r="N38" s="88"/>
      <c r="O38" s="88"/>
      <c r="P38" s="89"/>
      <c r="Q38" s="152"/>
    </row>
    <row r="39" spans="3:31" ht="14" customHeight="1" x14ac:dyDescent="0.25">
      <c r="C39" s="87" t="s">
        <v>48</v>
      </c>
      <c r="D39" s="88">
        <f>D37/O34-1</f>
        <v>-0.24713837312803533</v>
      </c>
      <c r="E39" s="88">
        <f>E37/D37-1</f>
        <v>-0.33048474414552698</v>
      </c>
      <c r="F39" s="88">
        <f>F37/E37-1</f>
        <v>3.2069211227461425</v>
      </c>
      <c r="G39" s="88">
        <f>G37/F37-1</f>
        <v>-0.56049369987701692</v>
      </c>
      <c r="H39" s="88">
        <f>H37/G37-1</f>
        <v>0.10752165680869963</v>
      </c>
      <c r="I39" s="88"/>
      <c r="J39" s="88"/>
      <c r="K39" s="88"/>
      <c r="L39" s="88"/>
      <c r="M39" s="88"/>
      <c r="N39" s="88"/>
      <c r="O39" s="88"/>
      <c r="P39" s="88"/>
      <c r="Q39" s="152"/>
    </row>
    <row r="40" spans="3:31" ht="14" customHeight="1" x14ac:dyDescent="0.25">
      <c r="C40" s="93"/>
      <c r="D40" s="94"/>
      <c r="E40" s="94"/>
      <c r="F40" s="94"/>
      <c r="G40" s="94"/>
      <c r="H40" s="94"/>
      <c r="I40" s="94"/>
      <c r="J40" s="94"/>
      <c r="K40" s="94"/>
      <c r="L40" s="94"/>
      <c r="M40" s="94"/>
      <c r="N40" s="94"/>
      <c r="O40" s="94"/>
      <c r="P40" s="94"/>
      <c r="Q40" s="152"/>
      <c r="R40" s="93"/>
      <c r="S40" s="156"/>
      <c r="T40" s="156"/>
      <c r="U40" s="156"/>
      <c r="V40" s="156"/>
      <c r="W40" s="156"/>
      <c r="X40" s="156"/>
      <c r="Y40" s="156"/>
      <c r="Z40" s="156"/>
      <c r="AA40" s="156"/>
      <c r="AB40" s="156"/>
      <c r="AC40" s="156"/>
      <c r="AD40" s="156"/>
      <c r="AE40" s="156"/>
    </row>
    <row r="41" spans="3:31" ht="14" customHeight="1" x14ac:dyDescent="0.25">
      <c r="C41" s="83" t="s">
        <v>151</v>
      </c>
      <c r="D41" s="83" t="s">
        <v>138</v>
      </c>
      <c r="E41" s="83" t="s">
        <v>139</v>
      </c>
      <c r="F41" s="83" t="s">
        <v>140</v>
      </c>
      <c r="G41" s="83" t="s">
        <v>141</v>
      </c>
      <c r="H41" s="83" t="s">
        <v>142</v>
      </c>
      <c r="I41" s="83" t="s">
        <v>143</v>
      </c>
      <c r="J41" s="83" t="s">
        <v>144</v>
      </c>
      <c r="K41" s="83" t="s">
        <v>145</v>
      </c>
      <c r="L41" s="83" t="s">
        <v>146</v>
      </c>
      <c r="M41" s="83" t="s">
        <v>147</v>
      </c>
      <c r="N41" s="83" t="s">
        <v>148</v>
      </c>
      <c r="O41" s="83" t="s">
        <v>149</v>
      </c>
      <c r="P41" s="83" t="s">
        <v>150</v>
      </c>
      <c r="Q41" s="152"/>
      <c r="R41" s="93"/>
      <c r="S41" s="156"/>
      <c r="T41" s="156"/>
      <c r="U41" s="156"/>
      <c r="V41" s="156"/>
      <c r="W41" s="156"/>
      <c r="X41" s="156"/>
      <c r="Y41" s="156"/>
      <c r="Z41" s="156"/>
      <c r="AA41" s="156"/>
      <c r="AB41" s="156"/>
      <c r="AC41" s="156"/>
      <c r="AD41" s="156"/>
      <c r="AE41" s="156"/>
    </row>
    <row r="42" spans="3:31" ht="14" customHeight="1" x14ac:dyDescent="0.25">
      <c r="C42" s="84">
        <v>2023</v>
      </c>
      <c r="D42" s="90">
        <f>D32/D48</f>
        <v>0.20002424352622089</v>
      </c>
      <c r="E42" s="90">
        <f t="shared" ref="E42:P42" si="15">E32/E48</f>
        <v>0.22881207936486614</v>
      </c>
      <c r="F42" s="90">
        <f t="shared" si="15"/>
        <v>0.22429948753582907</v>
      </c>
      <c r="G42" s="90">
        <f t="shared" si="15"/>
        <v>0.21894127377998346</v>
      </c>
      <c r="H42" s="90">
        <f t="shared" si="15"/>
        <v>0.23097159857855157</v>
      </c>
      <c r="I42" s="90">
        <f t="shared" si="15"/>
        <v>0.25086593029684201</v>
      </c>
      <c r="J42" s="90">
        <f t="shared" si="15"/>
        <v>0.24118787390304403</v>
      </c>
      <c r="K42" s="90">
        <f t="shared" si="15"/>
        <v>0.27836604130427167</v>
      </c>
      <c r="L42" s="90">
        <f t="shared" si="15"/>
        <v>0.23424672609221966</v>
      </c>
      <c r="M42" s="90">
        <f t="shared" si="15"/>
        <v>0.24899530381882251</v>
      </c>
      <c r="N42" s="90">
        <f t="shared" si="15"/>
        <v>0.25701964542405364</v>
      </c>
      <c r="O42" s="90">
        <f t="shared" si="15"/>
        <v>0.28352422532815469</v>
      </c>
      <c r="P42" s="91">
        <f t="shared" si="15"/>
        <v>0.23961169782885824</v>
      </c>
      <c r="Q42" s="152"/>
      <c r="R42" s="93"/>
      <c r="S42" s="156"/>
      <c r="T42" s="156"/>
      <c r="U42" s="156"/>
      <c r="V42" s="156"/>
      <c r="W42" s="156"/>
      <c r="X42" s="156"/>
      <c r="Y42" s="156"/>
      <c r="Z42" s="156"/>
      <c r="AA42" s="156"/>
      <c r="AB42" s="156"/>
      <c r="AC42" s="156"/>
      <c r="AD42" s="156"/>
      <c r="AE42" s="156"/>
    </row>
    <row r="43" spans="3:31" ht="14" customHeight="1" x14ac:dyDescent="0.25">
      <c r="C43" s="84">
        <v>2024</v>
      </c>
      <c r="D43" s="90">
        <f>D33/D49</f>
        <v>0.23012262381365658</v>
      </c>
      <c r="E43" s="90">
        <f t="shared" ref="E43:P43" si="16">E33/E49</f>
        <v>0.2484390830054426</v>
      </c>
      <c r="F43" s="90">
        <f t="shared" si="16"/>
        <v>0.22941539274857922</v>
      </c>
      <c r="G43" s="90">
        <f t="shared" si="16"/>
        <v>0.24733008624156574</v>
      </c>
      <c r="H43" s="90">
        <f t="shared" si="16"/>
        <v>0.25661913081163074</v>
      </c>
      <c r="I43" s="90">
        <f t="shared" si="16"/>
        <v>0.28247881604123548</v>
      </c>
      <c r="J43" s="90">
        <f t="shared" si="16"/>
        <v>0.2744361666790946</v>
      </c>
      <c r="K43" s="90">
        <f t="shared" si="16"/>
        <v>0.2944014188590009</v>
      </c>
      <c r="L43" s="90">
        <f t="shared" si="16"/>
        <v>0.29382827288284002</v>
      </c>
      <c r="M43" s="90">
        <f t="shared" si="16"/>
        <v>0.30240907074739409</v>
      </c>
      <c r="N43" s="90">
        <f t="shared" si="16"/>
        <v>0.35328429138727946</v>
      </c>
      <c r="O43" s="90">
        <f t="shared" si="16"/>
        <v>0.40040913158978875</v>
      </c>
      <c r="P43" s="91">
        <f t="shared" si="16"/>
        <v>0.28121373755746942</v>
      </c>
      <c r="Q43" s="152"/>
      <c r="R43" s="93"/>
      <c r="S43" s="156"/>
      <c r="T43" s="156"/>
      <c r="U43" s="156"/>
      <c r="V43" s="156"/>
      <c r="W43" s="156"/>
      <c r="X43" s="156"/>
      <c r="Y43" s="156"/>
      <c r="Z43" s="156"/>
      <c r="AA43" s="156"/>
      <c r="AB43" s="156"/>
      <c r="AC43" s="156"/>
      <c r="AD43" s="156"/>
      <c r="AE43" s="156"/>
    </row>
    <row r="44" spans="3:31" ht="14" customHeight="1" x14ac:dyDescent="0.25">
      <c r="C44" s="84">
        <v>2025</v>
      </c>
      <c r="D44" s="90">
        <f>D34/D50</f>
        <v>0.30307510136711041</v>
      </c>
      <c r="E44" s="90">
        <f t="shared" ref="E44:P44" si="17">E34/E50</f>
        <v>0.33926999309967404</v>
      </c>
      <c r="F44" s="90">
        <f t="shared" si="17"/>
        <v>0.28879062903420022</v>
      </c>
      <c r="G44" s="90">
        <f t="shared" si="17"/>
        <v>0.32103946613923262</v>
      </c>
      <c r="H44" s="90">
        <f t="shared" si="17"/>
        <v>0.33741587259279004</v>
      </c>
      <c r="I44" s="90">
        <f t="shared" si="17"/>
        <v>0.35927993476760961</v>
      </c>
      <c r="J44" s="90">
        <f t="shared" si="17"/>
        <v>0.33758579847881615</v>
      </c>
      <c r="K44" s="90">
        <f t="shared" si="17"/>
        <v>0.3832199546485261</v>
      </c>
      <c r="L44" s="90">
        <f t="shared" si="17"/>
        <v>0.35503418123244196</v>
      </c>
      <c r="M44" s="90">
        <f t="shared" si="17"/>
        <v>0.37552087645224497</v>
      </c>
      <c r="N44" s="90">
        <f t="shared" si="17"/>
        <v>0.38351614909297804</v>
      </c>
      <c r="O44" s="90">
        <f t="shared" si="17"/>
        <v>0.43786282299366147</v>
      </c>
      <c r="P44" s="91">
        <f t="shared" si="17"/>
        <v>0.34569811875440171</v>
      </c>
      <c r="Q44" s="152"/>
      <c r="R44" s="93"/>
      <c r="S44" s="156"/>
      <c r="T44" s="156"/>
      <c r="U44" s="156"/>
      <c r="V44" s="156"/>
      <c r="W44" s="156"/>
      <c r="X44" s="156"/>
      <c r="Y44" s="156"/>
      <c r="Z44" s="156"/>
      <c r="AA44" s="156"/>
      <c r="AB44" s="156"/>
      <c r="AC44" s="156"/>
      <c r="AD44" s="156"/>
      <c r="AE44" s="156"/>
    </row>
    <row r="45" spans="3:31" ht="14" customHeight="1" x14ac:dyDescent="0.25">
      <c r="C45" s="84">
        <v>2026</v>
      </c>
      <c r="D45" s="90">
        <f>D37/D53</f>
        <v>0.33450359752163022</v>
      </c>
      <c r="E45" s="90">
        <f>E37/E53</f>
        <v>0.35824639289678134</v>
      </c>
      <c r="F45" s="90">
        <f>F37/F53</f>
        <v>0.35675608929476887</v>
      </c>
      <c r="G45" s="90">
        <f>G37/G53</f>
        <v>0.39988073462113144</v>
      </c>
      <c r="H45" s="90">
        <f>H37/H53</f>
        <v>0.41141028992543349</v>
      </c>
      <c r="I45" s="90"/>
      <c r="J45" s="90"/>
      <c r="K45" s="90"/>
      <c r="L45" s="90"/>
      <c r="M45" s="90"/>
      <c r="N45" s="90"/>
      <c r="O45" s="90"/>
      <c r="P45" s="91"/>
      <c r="Q45" s="154"/>
      <c r="S45" s="154"/>
      <c r="T45" s="154"/>
      <c r="U45" s="154"/>
      <c r="V45" s="154"/>
      <c r="W45" s="154"/>
      <c r="X45" s="154"/>
      <c r="Y45" s="154"/>
      <c r="Z45" s="154"/>
      <c r="AA45" s="154"/>
      <c r="AB45" s="154"/>
      <c r="AC45" s="154"/>
      <c r="AD45" s="154"/>
      <c r="AE45" s="154"/>
    </row>
    <row r="46" spans="3:31" ht="14" customHeight="1" x14ac:dyDescent="0.25">
      <c r="C46" s="84"/>
      <c r="D46" s="90"/>
      <c r="E46" s="90"/>
      <c r="F46" s="90"/>
      <c r="G46" s="90"/>
      <c r="H46" s="90"/>
      <c r="I46" s="90"/>
      <c r="J46" s="90"/>
      <c r="K46" s="90"/>
      <c r="L46" s="90"/>
      <c r="M46" s="90"/>
      <c r="N46" s="90"/>
      <c r="O46" s="90"/>
      <c r="P46" s="91"/>
      <c r="Q46" s="152"/>
      <c r="R46" s="93"/>
      <c r="S46" s="156"/>
      <c r="T46" s="156"/>
      <c r="U46" s="156"/>
      <c r="V46" s="156"/>
      <c r="W46" s="156"/>
      <c r="X46" s="156"/>
      <c r="Y46" s="156"/>
      <c r="Z46" s="156"/>
      <c r="AA46" s="156"/>
      <c r="AB46" s="156"/>
      <c r="AC46" s="156"/>
      <c r="AD46" s="156"/>
      <c r="AE46" s="156"/>
    </row>
    <row r="47" spans="3:31" ht="14" customHeight="1" x14ac:dyDescent="0.25">
      <c r="C47" s="83" t="s">
        <v>152</v>
      </c>
      <c r="D47" s="83" t="s">
        <v>138</v>
      </c>
      <c r="E47" s="83" t="s">
        <v>139</v>
      </c>
      <c r="F47" s="83" t="s">
        <v>140</v>
      </c>
      <c r="G47" s="83" t="s">
        <v>141</v>
      </c>
      <c r="H47" s="83" t="s">
        <v>142</v>
      </c>
      <c r="I47" s="83" t="s">
        <v>143</v>
      </c>
      <c r="J47" s="83" t="s">
        <v>144</v>
      </c>
      <c r="K47" s="83" t="s">
        <v>145</v>
      </c>
      <c r="L47" s="83" t="s">
        <v>146</v>
      </c>
      <c r="M47" s="83" t="s">
        <v>147</v>
      </c>
      <c r="N47" s="83" t="s">
        <v>148</v>
      </c>
      <c r="O47" s="83" t="s">
        <v>149</v>
      </c>
      <c r="P47" s="83" t="s">
        <v>150</v>
      </c>
      <c r="Q47" s="152"/>
      <c r="R47" s="93"/>
      <c r="S47" s="156"/>
      <c r="T47" s="156"/>
      <c r="U47" s="156"/>
      <c r="V47" s="156"/>
      <c r="W47" s="156"/>
      <c r="X47" s="156"/>
      <c r="Y47" s="156"/>
      <c r="Z47" s="156"/>
      <c r="AA47" s="156"/>
      <c r="AB47" s="156"/>
      <c r="AC47" s="156"/>
      <c r="AD47" s="156"/>
      <c r="AE47" s="156"/>
    </row>
    <row r="48" spans="3:31" ht="14" customHeight="1" x14ac:dyDescent="0.25">
      <c r="C48" s="84">
        <v>2023</v>
      </c>
      <c r="D48" s="85">
        <v>131994</v>
      </c>
      <c r="E48" s="85">
        <v>74441</v>
      </c>
      <c r="F48" s="85">
        <v>287825</v>
      </c>
      <c r="G48" s="85">
        <v>132990</v>
      </c>
      <c r="H48" s="85">
        <v>145204</v>
      </c>
      <c r="I48" s="85">
        <v>177266</v>
      </c>
      <c r="J48" s="85">
        <v>143921</v>
      </c>
      <c r="K48" s="85">
        <v>85657</v>
      </c>
      <c r="L48" s="85">
        <v>272610</v>
      </c>
      <c r="M48" s="85">
        <v>153529</v>
      </c>
      <c r="N48" s="85">
        <v>156525</v>
      </c>
      <c r="O48" s="85">
        <v>141092</v>
      </c>
      <c r="P48" s="86">
        <f>SUM(D48:O48)</f>
        <v>1903054</v>
      </c>
      <c r="Q48" s="152"/>
      <c r="R48" s="93"/>
      <c r="S48" s="156"/>
      <c r="T48" s="156"/>
      <c r="U48" s="156"/>
      <c r="V48" s="156"/>
      <c r="W48" s="156"/>
      <c r="X48" s="156"/>
      <c r="Y48" s="156"/>
      <c r="Z48" s="156"/>
      <c r="AA48" s="156"/>
      <c r="AB48" s="156"/>
      <c r="AC48" s="156"/>
      <c r="AD48" s="156"/>
      <c r="AE48" s="156"/>
    </row>
    <row r="49" spans="3:31" ht="14" customHeight="1" x14ac:dyDescent="0.25">
      <c r="C49" s="84">
        <v>2024</v>
      </c>
      <c r="D49" s="85">
        <v>142876</v>
      </c>
      <c r="E49" s="85">
        <v>84886</v>
      </c>
      <c r="F49" s="85">
        <v>317786</v>
      </c>
      <c r="G49" s="85">
        <v>134274</v>
      </c>
      <c r="H49" s="85">
        <v>147678</v>
      </c>
      <c r="I49" s="85">
        <v>179263</v>
      </c>
      <c r="J49" s="85">
        <v>147517</v>
      </c>
      <c r="K49" s="85">
        <v>84575</v>
      </c>
      <c r="L49" s="85">
        <v>275239</v>
      </c>
      <c r="M49" s="85">
        <v>144288</v>
      </c>
      <c r="N49" s="85">
        <v>153610</v>
      </c>
      <c r="O49" s="85">
        <v>140786</v>
      </c>
      <c r="P49" s="86">
        <f>SUM(D49:O49)</f>
        <v>1952778</v>
      </c>
      <c r="Q49" s="152"/>
      <c r="R49" s="93"/>
      <c r="S49" s="156"/>
      <c r="T49" s="156"/>
      <c r="U49" s="156"/>
      <c r="V49" s="156"/>
      <c r="W49" s="156"/>
      <c r="X49" s="156"/>
      <c r="Y49" s="156"/>
      <c r="Z49" s="156"/>
      <c r="AA49" s="156"/>
      <c r="AB49" s="156"/>
      <c r="AC49" s="156"/>
      <c r="AD49" s="156"/>
      <c r="AE49" s="156"/>
    </row>
    <row r="50" spans="3:31" ht="14" customHeight="1" x14ac:dyDescent="0.25">
      <c r="C50" s="84">
        <v>2025</v>
      </c>
      <c r="D50" s="85">
        <v>139345</v>
      </c>
      <c r="E50" s="85">
        <v>84054</v>
      </c>
      <c r="F50" s="85">
        <v>357103</v>
      </c>
      <c r="G50" s="85">
        <v>120331</v>
      </c>
      <c r="H50" s="85">
        <v>150070</v>
      </c>
      <c r="I50" s="85">
        <v>191316</v>
      </c>
      <c r="J50" s="85">
        <v>140154</v>
      </c>
      <c r="K50" s="85">
        <v>82908</v>
      </c>
      <c r="L50" s="85">
        <v>312891</v>
      </c>
      <c r="M50" s="85">
        <v>144948</v>
      </c>
      <c r="N50" s="85">
        <v>151154</v>
      </c>
      <c r="O50" s="85">
        <v>146249</v>
      </c>
      <c r="P50" s="86">
        <f>SUM(D50:O50)</f>
        <v>2020523</v>
      </c>
      <c r="Q50" s="152"/>
      <c r="R50" s="93"/>
      <c r="S50" s="156"/>
      <c r="T50" s="156"/>
      <c r="U50" s="156"/>
      <c r="V50" s="156"/>
      <c r="W50" s="156"/>
      <c r="X50" s="156"/>
      <c r="Y50" s="156"/>
      <c r="Z50" s="156"/>
      <c r="AA50" s="156"/>
      <c r="AB50" s="156"/>
      <c r="AC50" s="156"/>
      <c r="AD50" s="156"/>
      <c r="AE50" s="156"/>
    </row>
    <row r="51" spans="3:31" ht="14" customHeight="1" x14ac:dyDescent="0.25">
      <c r="C51" s="87" t="s">
        <v>118</v>
      </c>
      <c r="D51" s="88">
        <f t="shared" ref="D51:O51" si="18">D50/D49-1</f>
        <v>-2.4713737786612122E-2</v>
      </c>
      <c r="E51" s="88">
        <f t="shared" si="18"/>
        <v>-9.8013806752585975E-3</v>
      </c>
      <c r="F51" s="88">
        <f t="shared" si="18"/>
        <v>0.12372162398595288</v>
      </c>
      <c r="G51" s="88">
        <f t="shared" si="18"/>
        <v>-0.10383990943890853</v>
      </c>
      <c r="H51" s="88">
        <f t="shared" si="18"/>
        <v>1.619740245669643E-2</v>
      </c>
      <c r="I51" s="88">
        <f t="shared" si="18"/>
        <v>6.7236406843576235E-2</v>
      </c>
      <c r="J51" s="88">
        <f t="shared" si="18"/>
        <v>-4.9912891395567982E-2</v>
      </c>
      <c r="K51" s="88">
        <f t="shared" si="18"/>
        <v>-1.9710316287318896E-2</v>
      </c>
      <c r="L51" s="88">
        <f t="shared" si="18"/>
        <v>0.13679747419515409</v>
      </c>
      <c r="M51" s="88">
        <f t="shared" si="18"/>
        <v>4.5741849634064469E-3</v>
      </c>
      <c r="N51" s="88">
        <f t="shared" si="18"/>
        <v>-1.598854241260339E-2</v>
      </c>
      <c r="O51" s="88">
        <f t="shared" si="18"/>
        <v>3.8803574219027359E-2</v>
      </c>
      <c r="P51" s="89">
        <f>P50/P49-1</f>
        <v>3.4691603449035213E-2</v>
      </c>
      <c r="Q51" s="152"/>
      <c r="R51" s="93"/>
      <c r="S51" s="156"/>
      <c r="T51" s="156"/>
      <c r="U51" s="156"/>
      <c r="V51" s="156"/>
      <c r="W51" s="156"/>
      <c r="X51" s="156"/>
      <c r="Y51" s="156"/>
      <c r="Z51" s="156"/>
      <c r="AA51" s="156"/>
      <c r="AB51" s="156"/>
      <c r="AC51" s="156"/>
      <c r="AD51" s="156"/>
      <c r="AE51" s="156"/>
    </row>
    <row r="52" spans="3:31" ht="14" customHeight="1" x14ac:dyDescent="0.25">
      <c r="C52" s="87" t="s">
        <v>48</v>
      </c>
      <c r="D52" s="88">
        <f>D50/O49-1</f>
        <v>-1.0235392723708325E-2</v>
      </c>
      <c r="E52" s="88">
        <f t="shared" ref="E52:N52" si="19">E50/D50-1</f>
        <v>-0.3967921346298755</v>
      </c>
      <c r="F52" s="88">
        <f t="shared" si="19"/>
        <v>3.2484950151093344</v>
      </c>
      <c r="G52" s="88">
        <f t="shared" si="19"/>
        <v>-0.66303559477237661</v>
      </c>
      <c r="H52" s="88">
        <f t="shared" si="19"/>
        <v>0.24714329640740962</v>
      </c>
      <c r="I52" s="88">
        <f t="shared" si="19"/>
        <v>0.27484507229959343</v>
      </c>
      <c r="J52" s="88">
        <f t="shared" si="19"/>
        <v>-0.26742143887599579</v>
      </c>
      <c r="K52" s="88">
        <f t="shared" si="19"/>
        <v>-0.40845070422535212</v>
      </c>
      <c r="L52" s="88">
        <f t="shared" si="19"/>
        <v>2.7739542625560865</v>
      </c>
      <c r="M52" s="88">
        <f t="shared" si="19"/>
        <v>-0.53674602337555255</v>
      </c>
      <c r="N52" s="88">
        <f t="shared" si="19"/>
        <v>4.2815354471948508E-2</v>
      </c>
      <c r="O52" s="88">
        <f t="shared" ref="O52" si="20">O50/N50-1</f>
        <v>-3.245034865104468E-2</v>
      </c>
      <c r="P52" s="88"/>
      <c r="Q52" s="152"/>
      <c r="R52" s="93"/>
      <c r="S52" s="156"/>
      <c r="T52" s="156"/>
      <c r="U52" s="156"/>
      <c r="V52" s="156"/>
      <c r="W52" s="156"/>
      <c r="X52" s="156"/>
      <c r="Y52" s="156"/>
      <c r="Z52" s="156"/>
      <c r="AA52" s="156"/>
      <c r="AB52" s="156"/>
      <c r="AC52" s="156"/>
      <c r="AD52" s="156"/>
      <c r="AE52" s="156"/>
    </row>
    <row r="53" spans="3:31" ht="14" customHeight="1" x14ac:dyDescent="0.25">
      <c r="C53" s="84">
        <v>2026</v>
      </c>
      <c r="D53" s="85">
        <v>144127</v>
      </c>
      <c r="E53" s="85">
        <v>90100</v>
      </c>
      <c r="F53" s="85">
        <v>380627</v>
      </c>
      <c r="G53" s="85">
        <v>149247</v>
      </c>
      <c r="H53" s="85">
        <v>160662</v>
      </c>
      <c r="I53" s="85"/>
      <c r="J53" s="85"/>
      <c r="K53" s="85"/>
      <c r="L53" s="85"/>
      <c r="M53" s="85"/>
      <c r="N53" s="85"/>
      <c r="O53" s="85"/>
      <c r="P53" s="86"/>
      <c r="Q53" s="154"/>
      <c r="S53" s="154"/>
      <c r="T53" s="154"/>
      <c r="U53" s="154"/>
      <c r="V53" s="154"/>
      <c r="W53" s="154"/>
      <c r="X53" s="154"/>
      <c r="Y53" s="154"/>
      <c r="Z53" s="154"/>
      <c r="AA53" s="154"/>
      <c r="AB53" s="154"/>
      <c r="AC53" s="154"/>
      <c r="AD53" s="154"/>
      <c r="AE53" s="154"/>
    </row>
    <row r="54" spans="3:31" ht="14" customHeight="1" x14ac:dyDescent="0.25">
      <c r="C54" s="87" t="s">
        <v>118</v>
      </c>
      <c r="D54" s="88">
        <f>D53/D50-1</f>
        <v>3.4317700670996487E-2</v>
      </c>
      <c r="E54" s="88">
        <f t="shared" ref="E54:F54" si="21">E53/E50-1</f>
        <v>7.1929949794179882E-2</v>
      </c>
      <c r="F54" s="88">
        <f t="shared" si="21"/>
        <v>6.5874551599958586E-2</v>
      </c>
      <c r="G54" s="88">
        <f t="shared" ref="G54:H54" si="22">G53/G50-1</f>
        <v>0.24030382860609478</v>
      </c>
      <c r="H54" s="88">
        <f t="shared" si="22"/>
        <v>7.058039581528619E-2</v>
      </c>
      <c r="I54" s="88"/>
      <c r="J54" s="88"/>
      <c r="K54" s="88"/>
      <c r="L54" s="88"/>
      <c r="M54" s="88"/>
      <c r="N54" s="88"/>
      <c r="O54" s="88"/>
      <c r="P54" s="89"/>
      <c r="Q54" s="152"/>
    </row>
    <row r="55" spans="3:31" ht="14" customHeight="1" x14ac:dyDescent="0.25">
      <c r="C55" s="87" t="s">
        <v>48</v>
      </c>
      <c r="D55" s="88">
        <f>D53/O50-1</f>
        <v>-1.4509500919664409E-2</v>
      </c>
      <c r="E55" s="88">
        <f>E53/D53-1</f>
        <v>-0.37485689704219194</v>
      </c>
      <c r="F55" s="88">
        <f>F53/E53-1</f>
        <v>3.2244950055493895</v>
      </c>
      <c r="G55" s="88">
        <f>G53/F53-1</f>
        <v>-0.60789171551151133</v>
      </c>
      <c r="H55" s="88">
        <f>H53/G53-1</f>
        <v>7.6483949426119135E-2</v>
      </c>
      <c r="I55" s="88"/>
      <c r="J55" s="88"/>
      <c r="K55" s="88"/>
      <c r="L55" s="88"/>
      <c r="M55" s="88"/>
      <c r="N55" s="88"/>
      <c r="O55" s="88"/>
      <c r="P55" s="88"/>
      <c r="Q55" s="152"/>
    </row>
    <row r="56" spans="3:31" ht="14" customHeight="1" x14ac:dyDescent="0.25">
      <c r="C56" s="153" t="s">
        <v>155</v>
      </c>
      <c r="D56" s="94"/>
      <c r="E56" s="94"/>
      <c r="F56" s="94"/>
      <c r="G56" s="94"/>
      <c r="H56" s="94"/>
      <c r="I56" s="94"/>
      <c r="J56" s="94"/>
      <c r="K56" s="94"/>
      <c r="L56" s="94"/>
      <c r="M56" s="94"/>
      <c r="N56" s="94"/>
      <c r="O56" s="94"/>
      <c r="P56" s="94"/>
      <c r="Q56" s="152"/>
      <c r="R56" s="93"/>
      <c r="S56" s="156"/>
      <c r="T56" s="156"/>
      <c r="U56" s="156"/>
      <c r="V56" s="156"/>
      <c r="W56" s="156"/>
      <c r="X56" s="156"/>
      <c r="Y56" s="156"/>
      <c r="Z56" s="156"/>
      <c r="AA56" s="156"/>
      <c r="AB56" s="156"/>
      <c r="AC56" s="156"/>
      <c r="AD56" s="156"/>
      <c r="AE56" s="156"/>
    </row>
    <row r="57" spans="3:31" s="150" customFormat="1" ht="14" customHeight="1" x14ac:dyDescent="0.25">
      <c r="C57" s="95"/>
      <c r="D57" s="96"/>
      <c r="E57" s="96"/>
      <c r="F57" s="96"/>
      <c r="G57" s="96"/>
      <c r="H57" s="96"/>
      <c r="I57" s="96"/>
      <c r="J57" s="96"/>
      <c r="K57" s="96"/>
      <c r="L57" s="96"/>
      <c r="M57" s="96"/>
      <c r="N57" s="96"/>
      <c r="O57" s="96"/>
      <c r="P57" s="96"/>
      <c r="Q57" s="157"/>
      <c r="R57" s="95"/>
      <c r="S57" s="158"/>
      <c r="T57" s="158"/>
      <c r="U57" s="158"/>
      <c r="V57" s="158"/>
      <c r="W57" s="158"/>
      <c r="X57" s="158"/>
      <c r="Y57" s="158"/>
      <c r="Z57" s="158"/>
      <c r="AA57" s="158"/>
      <c r="AB57" s="158"/>
      <c r="AC57" s="158"/>
      <c r="AD57" s="158"/>
      <c r="AE57" s="158"/>
    </row>
    <row r="58" spans="3:31" ht="14" customHeight="1" x14ac:dyDescent="0.25">
      <c r="C58" s="81" t="s">
        <v>156</v>
      </c>
      <c r="D58" s="94"/>
      <c r="E58" s="94"/>
      <c r="F58" s="94"/>
      <c r="G58" s="94"/>
      <c r="H58" s="94"/>
      <c r="I58" s="94"/>
      <c r="J58" s="94"/>
      <c r="K58" s="94"/>
      <c r="L58" s="94"/>
      <c r="M58" s="94"/>
      <c r="N58" s="94"/>
      <c r="O58" s="94"/>
      <c r="P58" s="94"/>
      <c r="Q58" s="152"/>
      <c r="R58" s="93"/>
      <c r="S58" s="156"/>
      <c r="T58" s="156"/>
      <c r="U58" s="156"/>
      <c r="V58" s="156"/>
      <c r="W58" s="156"/>
      <c r="X58" s="156"/>
      <c r="Y58" s="156"/>
      <c r="Z58" s="156"/>
      <c r="AA58" s="156"/>
      <c r="AB58" s="156"/>
      <c r="AC58" s="156"/>
      <c r="AD58" s="156"/>
      <c r="AE58" s="156"/>
    </row>
    <row r="59" spans="3:31" ht="14" customHeight="1" x14ac:dyDescent="0.25">
      <c r="C59" s="83" t="s">
        <v>137</v>
      </c>
      <c r="D59" s="83" t="s">
        <v>138</v>
      </c>
      <c r="E59" s="83" t="s">
        <v>139</v>
      </c>
      <c r="F59" s="83" t="s">
        <v>140</v>
      </c>
      <c r="G59" s="83" t="s">
        <v>141</v>
      </c>
      <c r="H59" s="83" t="s">
        <v>142</v>
      </c>
      <c r="I59" s="83" t="s">
        <v>143</v>
      </c>
      <c r="J59" s="83" t="s">
        <v>144</v>
      </c>
      <c r="K59" s="83" t="s">
        <v>145</v>
      </c>
      <c r="L59" s="83" t="s">
        <v>146</v>
      </c>
      <c r="M59" s="83" t="s">
        <v>147</v>
      </c>
      <c r="N59" s="83" t="s">
        <v>148</v>
      </c>
      <c r="O59" s="83" t="s">
        <v>149</v>
      </c>
      <c r="P59" s="83" t="s">
        <v>150</v>
      </c>
    </row>
    <row r="60" spans="3:31" ht="14" customHeight="1" x14ac:dyDescent="0.25">
      <c r="C60" s="84">
        <v>2023</v>
      </c>
      <c r="D60" s="85">
        <v>24926</v>
      </c>
      <c r="E60" s="85">
        <v>30092</v>
      </c>
      <c r="F60" s="85">
        <v>46357</v>
      </c>
      <c r="G60" s="85">
        <v>27995</v>
      </c>
      <c r="H60" s="85">
        <v>35324</v>
      </c>
      <c r="I60" s="85">
        <v>51215</v>
      </c>
      <c r="J60" s="85">
        <v>30099</v>
      </c>
      <c r="K60" s="85">
        <v>29186</v>
      </c>
      <c r="L60" s="85">
        <v>45844</v>
      </c>
      <c r="M60" s="85">
        <v>40403</v>
      </c>
      <c r="N60" s="85">
        <v>45310</v>
      </c>
      <c r="O60" s="85">
        <v>54418</v>
      </c>
      <c r="P60" s="86">
        <f>SUM(D60:O60)</f>
        <v>461169</v>
      </c>
    </row>
    <row r="61" spans="3:31" ht="14" customHeight="1" x14ac:dyDescent="0.25">
      <c r="C61" s="84">
        <v>2024</v>
      </c>
      <c r="D61" s="85">
        <v>30562</v>
      </c>
      <c r="E61" s="85">
        <v>37562</v>
      </c>
      <c r="F61" s="85">
        <v>50232</v>
      </c>
      <c r="G61" s="85">
        <v>35750</v>
      </c>
      <c r="H61" s="85">
        <v>34097</v>
      </c>
      <c r="I61" s="85">
        <v>43882</v>
      </c>
      <c r="J61" s="85">
        <f>17030+9171</f>
        <v>26201</v>
      </c>
      <c r="K61" s="85">
        <f>13143+6165</f>
        <v>19308</v>
      </c>
      <c r="L61" s="85">
        <f>28266+10079</f>
        <v>38345</v>
      </c>
      <c r="M61" s="85">
        <v>31794</v>
      </c>
      <c r="N61" s="85">
        <v>34938</v>
      </c>
      <c r="O61" s="85">
        <v>54336</v>
      </c>
      <c r="P61" s="86">
        <f>SUM(D61:O61)</f>
        <v>437007</v>
      </c>
      <c r="Q61" s="152"/>
    </row>
    <row r="62" spans="3:31" ht="14" customHeight="1" x14ac:dyDescent="0.25">
      <c r="C62" s="84">
        <v>2025</v>
      </c>
      <c r="D62" s="85">
        <v>24775</v>
      </c>
      <c r="E62" s="85">
        <v>31786</v>
      </c>
      <c r="F62" s="85">
        <v>37550</v>
      </c>
      <c r="G62" s="85">
        <v>35135</v>
      </c>
      <c r="H62" s="85">
        <v>27594</v>
      </c>
      <c r="I62" s="85">
        <f>28857+11784</f>
        <v>40641</v>
      </c>
      <c r="J62" s="85">
        <f>19547+8415</f>
        <v>27962</v>
      </c>
      <c r="K62" s="85">
        <f>16992+5855</f>
        <v>22847</v>
      </c>
      <c r="L62" s="85">
        <f>31439+9118</f>
        <v>40557</v>
      </c>
      <c r="M62" s="85">
        <f>81860+250731-311-SUM(D62:L62)</f>
        <v>43433</v>
      </c>
      <c r="N62" s="85">
        <f>91355+285023-311-SUM(D62:M62)</f>
        <v>43787</v>
      </c>
      <c r="O62" s="85">
        <f>P62-SUM(D62:N62)</f>
        <v>59483</v>
      </c>
      <c r="P62" s="86">
        <f>108627+ 327234-311</f>
        <v>435550</v>
      </c>
      <c r="Q62" s="152"/>
    </row>
    <row r="63" spans="3:31" ht="14" customHeight="1" x14ac:dyDescent="0.25">
      <c r="C63" s="87" t="s">
        <v>118</v>
      </c>
      <c r="D63" s="88">
        <f t="shared" ref="D63:O63" si="23">D62/D61-1</f>
        <v>-0.1893527910477063</v>
      </c>
      <c r="E63" s="88">
        <f t="shared" si="23"/>
        <v>-0.15377242958308934</v>
      </c>
      <c r="F63" s="88">
        <f t="shared" si="23"/>
        <v>-0.25246854594680679</v>
      </c>
      <c r="G63" s="88">
        <f t="shared" si="23"/>
        <v>-1.720279720279716E-2</v>
      </c>
      <c r="H63" s="88">
        <f t="shared" si="23"/>
        <v>-0.19072059125436258</v>
      </c>
      <c r="I63" s="88">
        <f t="shared" si="23"/>
        <v>-7.3857162390046027E-2</v>
      </c>
      <c r="J63" s="88">
        <f t="shared" si="23"/>
        <v>6.7211175145986735E-2</v>
      </c>
      <c r="K63" s="88">
        <f t="shared" si="23"/>
        <v>0.18329189973068161</v>
      </c>
      <c r="L63" s="88">
        <f t="shared" si="23"/>
        <v>5.7686790976659186E-2</v>
      </c>
      <c r="M63" s="88">
        <f t="shared" si="23"/>
        <v>0.36607536013084219</v>
      </c>
      <c r="N63" s="88">
        <f t="shared" si="23"/>
        <v>0.25327723395729573</v>
      </c>
      <c r="O63" s="88">
        <f t="shared" si="23"/>
        <v>9.4725412249705432E-2</v>
      </c>
      <c r="P63" s="89">
        <f>P62/P61-1</f>
        <v>-3.3340427041214094E-3</v>
      </c>
      <c r="Q63" s="152"/>
    </row>
    <row r="64" spans="3:31" ht="14" customHeight="1" x14ac:dyDescent="0.25">
      <c r="C64" s="87" t="s">
        <v>48</v>
      </c>
      <c r="D64" s="88">
        <f>D62/O61-1</f>
        <v>-0.5440407832744405</v>
      </c>
      <c r="E64" s="88">
        <f t="shared" ref="E64:N64" si="24">E62/D62-1</f>
        <v>0.28298688193743704</v>
      </c>
      <c r="F64" s="88">
        <f t="shared" si="24"/>
        <v>0.18133769584093629</v>
      </c>
      <c r="G64" s="88">
        <f t="shared" si="24"/>
        <v>-6.4314247669773672E-2</v>
      </c>
      <c r="H64" s="88">
        <f t="shared" si="24"/>
        <v>-0.21462928703571937</v>
      </c>
      <c r="I64" s="88">
        <f t="shared" si="24"/>
        <v>0.47282017829963041</v>
      </c>
      <c r="J64" s="88">
        <f t="shared" si="24"/>
        <v>-0.31197559115179252</v>
      </c>
      <c r="K64" s="88">
        <f t="shared" si="24"/>
        <v>-0.18292682926829273</v>
      </c>
      <c r="L64" s="88">
        <f t="shared" si="24"/>
        <v>0.77515647568608581</v>
      </c>
      <c r="M64" s="88">
        <f t="shared" si="24"/>
        <v>7.0912542840939841E-2</v>
      </c>
      <c r="N64" s="88">
        <f t="shared" si="24"/>
        <v>8.1504846545252807E-3</v>
      </c>
      <c r="O64" s="88">
        <f t="shared" ref="O64" si="25">O62/N62-1</f>
        <v>0.3584625573800444</v>
      </c>
      <c r="P64" s="88"/>
      <c r="Q64" s="152"/>
    </row>
    <row r="65" spans="3:31" ht="14" customHeight="1" x14ac:dyDescent="0.25">
      <c r="C65" s="84">
        <v>2026</v>
      </c>
      <c r="D65" s="85">
        <f>4821+30308</f>
        <v>35129</v>
      </c>
      <c r="E65" s="85">
        <f>11476+62679-D65</f>
        <v>39026</v>
      </c>
      <c r="F65" s="85">
        <f>112086+19584-E65-D65</f>
        <v>57515</v>
      </c>
      <c r="G65" s="85">
        <f>148302+27917-SUM(D65:F65)</f>
        <v>44549</v>
      </c>
      <c r="H65" s="85">
        <f xml:space="preserve"> 185714+35565-SUM(D65:G65)</f>
        <v>45060</v>
      </c>
      <c r="I65" s="85"/>
      <c r="J65" s="85"/>
      <c r="K65" s="85"/>
      <c r="L65" s="85"/>
      <c r="M65" s="85"/>
      <c r="N65" s="85"/>
      <c r="O65" s="85"/>
      <c r="P65" s="86"/>
      <c r="Q65" s="152"/>
    </row>
    <row r="66" spans="3:31" ht="14" customHeight="1" x14ac:dyDescent="0.25">
      <c r="C66" s="87" t="s">
        <v>118</v>
      </c>
      <c r="D66" s="88">
        <f>D65/D62-1</f>
        <v>0.41792129162462155</v>
      </c>
      <c r="E66" s="88">
        <f t="shared" ref="E66:F66" si="26">E65/E62-1</f>
        <v>0.22777323349902479</v>
      </c>
      <c r="F66" s="88">
        <f t="shared" si="26"/>
        <v>0.53169107856191755</v>
      </c>
      <c r="G66" s="88">
        <f t="shared" ref="G66:H66" si="27">G65/G62-1</f>
        <v>0.26793795360751393</v>
      </c>
      <c r="H66" s="88">
        <f t="shared" si="27"/>
        <v>0.63296368775820833</v>
      </c>
      <c r="I66" s="88"/>
      <c r="J66" s="88"/>
      <c r="K66" s="88"/>
      <c r="L66" s="88"/>
      <c r="M66" s="88"/>
      <c r="N66" s="88"/>
      <c r="O66" s="88"/>
      <c r="P66" s="89"/>
      <c r="Q66" s="152"/>
    </row>
    <row r="67" spans="3:31" ht="14" customHeight="1" x14ac:dyDescent="0.25">
      <c r="C67" s="87" t="s">
        <v>48</v>
      </c>
      <c r="D67" s="88">
        <f>D65/O62-1</f>
        <v>-0.40942790377082527</v>
      </c>
      <c r="E67" s="88">
        <f>E65/D65-1</f>
        <v>0.1109339861652765</v>
      </c>
      <c r="F67" s="88">
        <f>F65/E65-1</f>
        <v>0.47376108235535286</v>
      </c>
      <c r="G67" s="88">
        <f>G65/F65-1</f>
        <v>-0.22543684256280971</v>
      </c>
      <c r="H67" s="88">
        <f>H65/G65-1</f>
        <v>1.1470515612022725E-2</v>
      </c>
      <c r="I67" s="88"/>
      <c r="J67" s="88"/>
      <c r="K67" s="88"/>
      <c r="L67" s="88"/>
      <c r="M67" s="88"/>
      <c r="N67" s="88"/>
      <c r="O67" s="88"/>
      <c r="P67" s="88"/>
      <c r="Q67" s="152"/>
    </row>
    <row r="68" spans="3:31" ht="14" customHeight="1" x14ac:dyDescent="0.25">
      <c r="M68" s="97"/>
      <c r="Q68" s="152"/>
    </row>
    <row r="69" spans="3:31" ht="14" customHeight="1" x14ac:dyDescent="0.25">
      <c r="C69" s="83" t="s">
        <v>151</v>
      </c>
      <c r="D69" s="83" t="s">
        <v>138</v>
      </c>
      <c r="E69" s="83" t="s">
        <v>139</v>
      </c>
      <c r="F69" s="83" t="s">
        <v>140</v>
      </c>
      <c r="G69" s="83" t="s">
        <v>141</v>
      </c>
      <c r="H69" s="83" t="s">
        <v>142</v>
      </c>
      <c r="I69" s="83" t="s">
        <v>143</v>
      </c>
      <c r="J69" s="83" t="s">
        <v>144</v>
      </c>
      <c r="K69" s="83" t="s">
        <v>145</v>
      </c>
      <c r="L69" s="83" t="s">
        <v>146</v>
      </c>
      <c r="M69" s="83" t="s">
        <v>147</v>
      </c>
      <c r="N69" s="83" t="s">
        <v>148</v>
      </c>
      <c r="O69" s="83" t="s">
        <v>149</v>
      </c>
      <c r="P69" s="83" t="s">
        <v>150</v>
      </c>
      <c r="Q69" s="152"/>
    </row>
    <row r="70" spans="3:31" ht="14" customHeight="1" x14ac:dyDescent="0.25">
      <c r="C70" s="84">
        <v>2023</v>
      </c>
      <c r="D70" s="90">
        <f>D60/D76</f>
        <v>0.22267484969492313</v>
      </c>
      <c r="E70" s="90">
        <f t="shared" ref="E70:P70" si="28">E60/E76</f>
        <v>0.2382090780995203</v>
      </c>
      <c r="F70" s="90">
        <f t="shared" si="28"/>
        <v>0.25371623100836288</v>
      </c>
      <c r="G70" s="90">
        <f t="shared" si="28"/>
        <v>0.21127345176822182</v>
      </c>
      <c r="H70" s="90">
        <f t="shared" si="28"/>
        <v>0.24271657871591909</v>
      </c>
      <c r="I70" s="90">
        <f t="shared" si="28"/>
        <v>0.26831836709033186</v>
      </c>
      <c r="J70" s="90">
        <f t="shared" si="28"/>
        <v>0.23342329347168583</v>
      </c>
      <c r="K70" s="90">
        <f t="shared" si="28"/>
        <v>0.25692127571545526</v>
      </c>
      <c r="L70" s="90">
        <f t="shared" si="28"/>
        <v>0.29330211192363548</v>
      </c>
      <c r="M70" s="90">
        <f t="shared" si="28"/>
        <v>0.26514112466613732</v>
      </c>
      <c r="N70" s="90">
        <f t="shared" si="28"/>
        <v>0.29670228927654668</v>
      </c>
      <c r="O70" s="90">
        <f t="shared" si="28"/>
        <v>0.30063366314754353</v>
      </c>
      <c r="P70" s="91">
        <f t="shared" si="28"/>
        <v>0.25983591825098162</v>
      </c>
      <c r="Q70" s="152"/>
      <c r="R70" s="93"/>
      <c r="S70" s="156"/>
      <c r="T70" s="156"/>
      <c r="U70" s="156"/>
      <c r="V70" s="156"/>
      <c r="W70" s="156"/>
      <c r="X70" s="156"/>
      <c r="Y70" s="156"/>
      <c r="Z70" s="156"/>
      <c r="AA70" s="156"/>
      <c r="AB70" s="156"/>
      <c r="AC70" s="156"/>
      <c r="AD70" s="156"/>
      <c r="AE70" s="156"/>
    </row>
    <row r="71" spans="3:31" ht="14" customHeight="1" x14ac:dyDescent="0.25">
      <c r="C71" s="84">
        <v>2024</v>
      </c>
      <c r="D71" s="90">
        <f>D61/D77</f>
        <v>0.24992640083739492</v>
      </c>
      <c r="E71" s="90">
        <f t="shared" ref="E71:P71" si="29">E61/E77</f>
        <v>0.26341737087555667</v>
      </c>
      <c r="F71" s="90">
        <f t="shared" si="29"/>
        <v>0.27902946273830154</v>
      </c>
      <c r="G71" s="90">
        <f t="shared" si="29"/>
        <v>0.24323533614102888</v>
      </c>
      <c r="H71" s="90">
        <f t="shared" si="29"/>
        <v>0.2413126866622316</v>
      </c>
      <c r="I71" s="90">
        <f t="shared" si="29"/>
        <v>0.24149203134630623</v>
      </c>
      <c r="J71" s="90">
        <f t="shared" si="29"/>
        <v>0.20788339931924751</v>
      </c>
      <c r="K71" s="90">
        <f t="shared" si="29"/>
        <v>0.2245716877769636</v>
      </c>
      <c r="L71" s="90">
        <f t="shared" si="29"/>
        <v>0.27585735559664182</v>
      </c>
      <c r="M71" s="90">
        <f t="shared" si="29"/>
        <v>0.23459185856901474</v>
      </c>
      <c r="N71" s="90">
        <f t="shared" si="29"/>
        <v>0.26206120612061207</v>
      </c>
      <c r="O71" s="90">
        <f t="shared" si="29"/>
        <v>0.29584780738530564</v>
      </c>
      <c r="P71" s="91">
        <f t="shared" si="29"/>
        <v>0.25430774118986182</v>
      </c>
      <c r="Q71" s="152"/>
      <c r="R71" s="93"/>
      <c r="S71" s="156"/>
      <c r="T71" s="156"/>
      <c r="U71" s="156"/>
      <c r="V71" s="156"/>
      <c r="W71" s="156"/>
      <c r="X71" s="156"/>
      <c r="Y71" s="156"/>
      <c r="Z71" s="156"/>
      <c r="AA71" s="156"/>
      <c r="AB71" s="156"/>
      <c r="AC71" s="156"/>
      <c r="AD71" s="156"/>
      <c r="AE71" s="156"/>
    </row>
    <row r="72" spans="3:31" ht="14" customHeight="1" x14ac:dyDescent="0.25">
      <c r="C72" s="84">
        <v>2025</v>
      </c>
      <c r="D72" s="90">
        <f>D62/D78</f>
        <v>0.21604911356640186</v>
      </c>
      <c r="E72" s="90">
        <f t="shared" ref="E72:P72" si="30">E62/E78</f>
        <v>0.22452496997951543</v>
      </c>
      <c r="F72" s="90">
        <f t="shared" si="30"/>
        <v>0.24408159020293549</v>
      </c>
      <c r="G72" s="90">
        <f t="shared" si="30"/>
        <v>0.25332381611582167</v>
      </c>
      <c r="H72" s="90">
        <f t="shared" si="30"/>
        <v>0.22267771689571414</v>
      </c>
      <c r="I72" s="90">
        <f t="shared" si="30"/>
        <v>0.23976425335095336</v>
      </c>
      <c r="J72" s="90">
        <f t="shared" si="30"/>
        <v>0.2402708438952714</v>
      </c>
      <c r="K72" s="90">
        <f t="shared" si="30"/>
        <v>0.26007125863697939</v>
      </c>
      <c r="L72" s="90">
        <f t="shared" si="30"/>
        <v>0.28896219559114811</v>
      </c>
      <c r="M72" s="90">
        <f t="shared" si="30"/>
        <v>0.31131642702524476</v>
      </c>
      <c r="N72" s="90">
        <f t="shared" si="30"/>
        <v>0.32940636590008049</v>
      </c>
      <c r="O72" s="90">
        <f t="shared" si="30"/>
        <v>0.34397751652431374</v>
      </c>
      <c r="P72" s="91">
        <f t="shared" si="30"/>
        <v>0.26685627319024208</v>
      </c>
      <c r="Q72" s="152"/>
      <c r="R72" s="93"/>
      <c r="S72" s="156"/>
      <c r="T72" s="156"/>
      <c r="U72" s="156"/>
      <c r="V72" s="156"/>
      <c r="W72" s="156"/>
      <c r="X72" s="156"/>
      <c r="Y72" s="156"/>
      <c r="Z72" s="156"/>
      <c r="AA72" s="156"/>
      <c r="AB72" s="156"/>
      <c r="AC72" s="156"/>
      <c r="AD72" s="156"/>
      <c r="AE72" s="156"/>
    </row>
    <row r="73" spans="3:31" ht="14" customHeight="1" x14ac:dyDescent="0.25">
      <c r="C73" s="84">
        <v>2026</v>
      </c>
      <c r="D73" s="90">
        <f>D65/D81</f>
        <v>0.3278273934507312</v>
      </c>
      <c r="E73" s="90">
        <f>E65/E81</f>
        <v>0.32315921963499056</v>
      </c>
      <c r="F73" s="90">
        <f>F65/F81</f>
        <v>0.33124272895861412</v>
      </c>
      <c r="G73" s="90">
        <f>G65/G81</f>
        <v>0.32202777235631314</v>
      </c>
      <c r="H73" s="90">
        <f>H65/H81</f>
        <v>0.35070514616605958</v>
      </c>
      <c r="I73" s="90"/>
      <c r="J73" s="90"/>
      <c r="K73" s="90"/>
      <c r="L73" s="90"/>
      <c r="M73" s="90"/>
      <c r="N73" s="90"/>
      <c r="O73" s="90"/>
      <c r="P73" s="91"/>
      <c r="Q73" s="154"/>
      <c r="S73" s="154"/>
      <c r="T73" s="154"/>
      <c r="U73" s="154"/>
      <c r="V73" s="154"/>
      <c r="W73" s="154"/>
      <c r="X73" s="154"/>
      <c r="Y73" s="154"/>
      <c r="Z73" s="154"/>
      <c r="AA73" s="154"/>
      <c r="AB73" s="154"/>
      <c r="AC73" s="154"/>
      <c r="AD73" s="154"/>
      <c r="AE73" s="154"/>
    </row>
    <row r="74" spans="3:31" ht="14" customHeight="1" x14ac:dyDescent="0.25">
      <c r="Q74" s="152"/>
      <c r="R74" s="93"/>
      <c r="S74" s="156"/>
      <c r="T74" s="156"/>
      <c r="U74" s="156"/>
      <c r="V74" s="156"/>
      <c r="W74" s="156"/>
      <c r="X74" s="156"/>
      <c r="Y74" s="156"/>
      <c r="Z74" s="156"/>
      <c r="AA74" s="156"/>
      <c r="AB74" s="156"/>
      <c r="AC74" s="156"/>
      <c r="AD74" s="156"/>
      <c r="AE74" s="156"/>
    </row>
    <row r="75" spans="3:31" ht="14" customHeight="1" x14ac:dyDescent="0.25">
      <c r="C75" s="83" t="s">
        <v>152</v>
      </c>
      <c r="D75" s="83" t="s">
        <v>138</v>
      </c>
      <c r="E75" s="83" t="s">
        <v>139</v>
      </c>
      <c r="F75" s="83" t="s">
        <v>140</v>
      </c>
      <c r="G75" s="83" t="s">
        <v>141</v>
      </c>
      <c r="H75" s="83" t="s">
        <v>142</v>
      </c>
      <c r="I75" s="83" t="s">
        <v>143</v>
      </c>
      <c r="J75" s="83" t="s">
        <v>144</v>
      </c>
      <c r="K75" s="83" t="s">
        <v>145</v>
      </c>
      <c r="L75" s="83" t="s">
        <v>146</v>
      </c>
      <c r="M75" s="83" t="s">
        <v>147</v>
      </c>
      <c r="N75" s="83" t="s">
        <v>148</v>
      </c>
      <c r="O75" s="83" t="s">
        <v>149</v>
      </c>
      <c r="P75" s="83" t="s">
        <v>150</v>
      </c>
      <c r="Q75" s="152"/>
      <c r="R75" s="93"/>
      <c r="S75" s="156"/>
      <c r="T75" s="156"/>
      <c r="U75" s="156"/>
      <c r="V75" s="156"/>
      <c r="W75" s="156"/>
      <c r="X75" s="156"/>
      <c r="Y75" s="156"/>
      <c r="Z75" s="156"/>
      <c r="AA75" s="156"/>
      <c r="AB75" s="156"/>
      <c r="AC75" s="156"/>
      <c r="AD75" s="156"/>
      <c r="AE75" s="156"/>
    </row>
    <row r="76" spans="3:31" ht="14" customHeight="1" x14ac:dyDescent="0.25">
      <c r="C76" s="84">
        <v>2023</v>
      </c>
      <c r="D76" s="85">
        <v>111939</v>
      </c>
      <c r="E76" s="85">
        <v>126326</v>
      </c>
      <c r="F76" s="85">
        <v>182712</v>
      </c>
      <c r="G76" s="85">
        <v>132506</v>
      </c>
      <c r="H76" s="85">
        <v>145536</v>
      </c>
      <c r="I76" s="85">
        <v>190874</v>
      </c>
      <c r="J76" s="85">
        <v>128946</v>
      </c>
      <c r="K76" s="85">
        <v>113599</v>
      </c>
      <c r="L76" s="85">
        <v>156303</v>
      </c>
      <c r="M76" s="85">
        <v>152383</v>
      </c>
      <c r="N76" s="85">
        <v>152712</v>
      </c>
      <c r="O76" s="85">
        <v>181011</v>
      </c>
      <c r="P76" s="86">
        <f>SUM(D76:O76)</f>
        <v>1774847</v>
      </c>
      <c r="Q76" s="152"/>
      <c r="R76" s="93"/>
      <c r="S76" s="156"/>
      <c r="T76" s="156"/>
      <c r="U76" s="156"/>
      <c r="V76" s="156"/>
      <c r="W76" s="156"/>
      <c r="X76" s="156"/>
      <c r="Y76" s="156"/>
      <c r="Z76" s="156"/>
      <c r="AA76" s="156"/>
      <c r="AB76" s="156"/>
      <c r="AC76" s="156"/>
      <c r="AD76" s="156"/>
      <c r="AE76" s="156"/>
    </row>
    <row r="77" spans="3:31" ht="14" customHeight="1" x14ac:dyDescent="0.25">
      <c r="C77" s="84">
        <v>2024</v>
      </c>
      <c r="D77" s="85">
        <v>122284</v>
      </c>
      <c r="E77" s="85">
        <v>142595</v>
      </c>
      <c r="F77" s="85">
        <v>180024</v>
      </c>
      <c r="G77" s="85">
        <v>146977</v>
      </c>
      <c r="H77" s="85">
        <v>141298</v>
      </c>
      <c r="I77" s="85">
        <v>181712</v>
      </c>
      <c r="J77" s="85">
        <v>126037</v>
      </c>
      <c r="K77" s="85">
        <v>85977</v>
      </c>
      <c r="L77" s="85">
        <v>139003</v>
      </c>
      <c r="M77" s="85">
        <v>135529</v>
      </c>
      <c r="N77" s="85">
        <v>133320</v>
      </c>
      <c r="O77" s="85">
        <v>183662</v>
      </c>
      <c r="P77" s="86">
        <f>SUM(D77:O77)</f>
        <v>1718418</v>
      </c>
      <c r="Q77" s="152"/>
      <c r="R77" s="93"/>
      <c r="S77" s="156"/>
      <c r="T77" s="156"/>
      <c r="U77" s="156"/>
      <c r="V77" s="156"/>
      <c r="W77" s="156"/>
      <c r="X77" s="156"/>
      <c r="Y77" s="156"/>
      <c r="Z77" s="156"/>
      <c r="AA77" s="156"/>
      <c r="AB77" s="156"/>
      <c r="AC77" s="156"/>
      <c r="AD77" s="156"/>
      <c r="AE77" s="156"/>
    </row>
    <row r="78" spans="3:31" ht="14" customHeight="1" x14ac:dyDescent="0.25">
      <c r="C78" s="84">
        <v>2025</v>
      </c>
      <c r="D78" s="85">
        <v>114673</v>
      </c>
      <c r="E78" s="85">
        <v>141570</v>
      </c>
      <c r="F78" s="85">
        <v>153842</v>
      </c>
      <c r="G78" s="85">
        <v>138696</v>
      </c>
      <c r="H78" s="85">
        <v>123919</v>
      </c>
      <c r="I78" s="85">
        <v>169504</v>
      </c>
      <c r="J78" s="85">
        <v>116377</v>
      </c>
      <c r="K78" s="85">
        <v>87849</v>
      </c>
      <c r="L78" s="85">
        <v>140354</v>
      </c>
      <c r="M78" s="85">
        <v>139514</v>
      </c>
      <c r="N78" s="85">
        <v>132927</v>
      </c>
      <c r="O78" s="85">
        <v>172927</v>
      </c>
      <c r="P78" s="86">
        <f>SUM(D78:O78)</f>
        <v>1632152</v>
      </c>
      <c r="Q78" s="152"/>
      <c r="R78" s="93"/>
      <c r="S78" s="156"/>
      <c r="T78" s="156"/>
      <c r="U78" s="156"/>
      <c r="V78" s="156"/>
      <c r="W78" s="156"/>
      <c r="X78" s="156"/>
      <c r="Y78" s="156"/>
      <c r="Z78" s="156"/>
      <c r="AA78" s="156"/>
      <c r="AB78" s="156"/>
      <c r="AC78" s="156"/>
      <c r="AD78" s="156"/>
      <c r="AE78" s="156"/>
    </row>
    <row r="79" spans="3:31" ht="14" customHeight="1" x14ac:dyDescent="0.25">
      <c r="C79" s="87" t="s">
        <v>118</v>
      </c>
      <c r="D79" s="88">
        <f t="shared" ref="D79:P79" si="31">D78/D77-1</f>
        <v>-6.2240358509698779E-2</v>
      </c>
      <c r="E79" s="88">
        <f t="shared" si="31"/>
        <v>-7.1881903292542182E-3</v>
      </c>
      <c r="F79" s="88">
        <f t="shared" si="31"/>
        <v>-0.14543616406701332</v>
      </c>
      <c r="G79" s="88">
        <f t="shared" si="31"/>
        <v>-5.6342148771576506E-2</v>
      </c>
      <c r="H79" s="88">
        <f t="shared" si="31"/>
        <v>-0.12299537148438056</v>
      </c>
      <c r="I79" s="88">
        <f t="shared" si="31"/>
        <v>-6.718323500924539E-2</v>
      </c>
      <c r="J79" s="88">
        <f t="shared" si="31"/>
        <v>-7.6644160048239818E-2</v>
      </c>
      <c r="K79" s="88">
        <f t="shared" si="31"/>
        <v>2.1773264942949844E-2</v>
      </c>
      <c r="L79" s="88">
        <f t="shared" si="31"/>
        <v>9.7192146932081336E-3</v>
      </c>
      <c r="M79" s="88">
        <f t="shared" si="31"/>
        <v>2.9403301138501758E-2</v>
      </c>
      <c r="N79" s="88">
        <f t="shared" si="31"/>
        <v>-2.9477947794779302E-3</v>
      </c>
      <c r="O79" s="88">
        <f t="shared" si="31"/>
        <v>-5.8449760973963039E-2</v>
      </c>
      <c r="P79" s="89">
        <f t="shared" si="31"/>
        <v>-5.0200824246487197E-2</v>
      </c>
      <c r="Q79" s="152"/>
      <c r="R79" s="93"/>
      <c r="S79" s="156"/>
      <c r="T79" s="156"/>
      <c r="U79" s="156"/>
      <c r="V79" s="156"/>
      <c r="W79" s="156"/>
      <c r="X79" s="156"/>
      <c r="Y79" s="156"/>
      <c r="Z79" s="156"/>
      <c r="AA79" s="156"/>
      <c r="AB79" s="156"/>
      <c r="AC79" s="156"/>
      <c r="AD79" s="156"/>
      <c r="AE79" s="156"/>
    </row>
    <row r="80" spans="3:31" ht="14" customHeight="1" x14ac:dyDescent="0.25">
      <c r="C80" s="87" t="s">
        <v>48</v>
      </c>
      <c r="D80" s="88">
        <f>D78/O77-1</f>
        <v>-0.37563023379904392</v>
      </c>
      <c r="E80" s="88">
        <f t="shared" ref="E80:O80" si="32">E78/D78-1</f>
        <v>0.23455390545289645</v>
      </c>
      <c r="F80" s="88">
        <f t="shared" si="32"/>
        <v>8.6685032139577567E-2</v>
      </c>
      <c r="G80" s="88">
        <f t="shared" si="32"/>
        <v>-9.8451658194771308E-2</v>
      </c>
      <c r="H80" s="88">
        <f t="shared" si="32"/>
        <v>-0.10654236603795353</v>
      </c>
      <c r="I80" s="88">
        <f t="shared" si="32"/>
        <v>0.36786126421291332</v>
      </c>
      <c r="J80" s="88">
        <f t="shared" si="32"/>
        <v>-0.31342623182933738</v>
      </c>
      <c r="K80" s="88">
        <f t="shared" si="32"/>
        <v>-0.24513434785223887</v>
      </c>
      <c r="L80" s="88">
        <f t="shared" si="32"/>
        <v>0.59767328028776645</v>
      </c>
      <c r="M80" s="88">
        <f t="shared" si="32"/>
        <v>-5.9848668367128433E-3</v>
      </c>
      <c r="N80" s="88">
        <f t="shared" si="32"/>
        <v>-4.721389968031886E-2</v>
      </c>
      <c r="O80" s="88">
        <f t="shared" si="32"/>
        <v>0.30091704469370417</v>
      </c>
      <c r="P80" s="88"/>
      <c r="Q80" s="152"/>
      <c r="R80" s="93"/>
      <c r="S80" s="156"/>
      <c r="T80" s="156"/>
      <c r="U80" s="156"/>
      <c r="V80" s="156"/>
      <c r="W80" s="156"/>
      <c r="X80" s="156"/>
      <c r="Y80" s="156"/>
      <c r="Z80" s="156"/>
      <c r="AA80" s="156"/>
      <c r="AB80" s="156"/>
      <c r="AC80" s="156"/>
      <c r="AD80" s="156"/>
      <c r="AE80" s="156"/>
    </row>
    <row r="81" spans="3:31" ht="14" customHeight="1" x14ac:dyDescent="0.25">
      <c r="C81" s="84">
        <v>2026</v>
      </c>
      <c r="D81" s="85">
        <v>107157</v>
      </c>
      <c r="E81" s="85">
        <v>120764</v>
      </c>
      <c r="F81" s="85">
        <v>173634</v>
      </c>
      <c r="G81" s="85">
        <v>138339</v>
      </c>
      <c r="H81" s="85">
        <v>128484</v>
      </c>
      <c r="I81" s="85"/>
      <c r="J81" s="85"/>
      <c r="K81" s="85"/>
      <c r="L81" s="85"/>
      <c r="M81" s="85"/>
      <c r="N81" s="85"/>
      <c r="O81" s="85"/>
      <c r="P81" s="86"/>
      <c r="Q81" s="154"/>
      <c r="S81" s="154"/>
      <c r="T81" s="154"/>
      <c r="U81" s="154"/>
      <c r="V81" s="154"/>
      <c r="W81" s="154"/>
      <c r="X81" s="154"/>
      <c r="Y81" s="154"/>
      <c r="Z81" s="154"/>
      <c r="AA81" s="154"/>
      <c r="AB81" s="154"/>
      <c r="AC81" s="154"/>
      <c r="AD81" s="154"/>
      <c r="AE81" s="154"/>
    </row>
    <row r="82" spans="3:31" ht="14" customHeight="1" x14ac:dyDescent="0.25">
      <c r="C82" s="87" t="s">
        <v>118</v>
      </c>
      <c r="D82" s="88">
        <f>D81/D78-1</f>
        <v>-6.5542891526340075E-2</v>
      </c>
      <c r="E82" s="88">
        <f t="shared" ref="E82:F82" si="33">E81/E78-1</f>
        <v>-0.14696616514798333</v>
      </c>
      <c r="F82" s="88">
        <f t="shared" si="33"/>
        <v>0.12865147358978701</v>
      </c>
      <c r="G82" s="88">
        <f t="shared" ref="G82:H82" si="34">G81/G78-1</f>
        <v>-2.5739747361135379E-3</v>
      </c>
      <c r="H82" s="88">
        <f t="shared" si="34"/>
        <v>3.6838580040187585E-2</v>
      </c>
      <c r="I82" s="88"/>
      <c r="J82" s="88"/>
      <c r="K82" s="88"/>
      <c r="L82" s="88"/>
      <c r="M82" s="88"/>
      <c r="N82" s="88"/>
      <c r="O82" s="88"/>
      <c r="P82" s="89"/>
      <c r="Q82" s="152"/>
    </row>
    <row r="83" spans="3:31" ht="14" customHeight="1" x14ac:dyDescent="0.25">
      <c r="C83" s="87" t="s">
        <v>48</v>
      </c>
      <c r="D83" s="88">
        <f>D81/O78-1</f>
        <v>-0.38033389811885943</v>
      </c>
      <c r="E83" s="88">
        <f>E81/D81-1</f>
        <v>0.12698190505519946</v>
      </c>
      <c r="F83" s="88">
        <f>F81/E81-1</f>
        <v>0.43779603193004535</v>
      </c>
      <c r="G83" s="88">
        <f>G81/F81-1</f>
        <v>-0.20327240056670925</v>
      </c>
      <c r="H83" s="88">
        <f>H81/G81-1</f>
        <v>-7.123804567041836E-2</v>
      </c>
      <c r="I83" s="88"/>
      <c r="J83" s="88"/>
      <c r="K83" s="88"/>
      <c r="L83" s="88"/>
      <c r="M83" s="88"/>
      <c r="N83" s="88"/>
      <c r="O83" s="88"/>
      <c r="P83" s="88"/>
      <c r="Q83" s="152"/>
    </row>
    <row r="84" spans="3:31" ht="14" customHeight="1" x14ac:dyDescent="0.25">
      <c r="C84" s="153" t="s">
        <v>157</v>
      </c>
      <c r="Q84" s="152"/>
      <c r="R84" s="93"/>
      <c r="S84" s="156"/>
      <c r="T84" s="156"/>
      <c r="U84" s="156"/>
      <c r="V84" s="156"/>
      <c r="W84" s="156"/>
      <c r="X84" s="156"/>
      <c r="Y84" s="156"/>
      <c r="Z84" s="156"/>
      <c r="AA84" s="156"/>
      <c r="AB84" s="156"/>
      <c r="AC84" s="156"/>
      <c r="AD84" s="156"/>
      <c r="AE84" s="156"/>
    </row>
    <row r="85" spans="3:31" s="150" customFormat="1" ht="14" customHeight="1" x14ac:dyDescent="0.25">
      <c r="D85" s="80"/>
      <c r="E85" s="80"/>
      <c r="F85" s="80"/>
      <c r="G85" s="80"/>
      <c r="H85" s="80"/>
      <c r="I85" s="80"/>
      <c r="J85" s="80"/>
      <c r="K85" s="80"/>
      <c r="L85" s="80"/>
      <c r="M85" s="80"/>
      <c r="N85" s="80"/>
      <c r="O85" s="80"/>
      <c r="P85" s="80"/>
      <c r="Q85" s="157"/>
      <c r="R85" s="95"/>
      <c r="S85" s="158"/>
      <c r="T85" s="158"/>
      <c r="U85" s="158"/>
      <c r="V85" s="158"/>
      <c r="W85" s="158"/>
      <c r="X85" s="158"/>
      <c r="Y85" s="158"/>
      <c r="Z85" s="158"/>
      <c r="AA85" s="158"/>
      <c r="AB85" s="158"/>
      <c r="AC85" s="158"/>
      <c r="AD85" s="158"/>
      <c r="AE85" s="158"/>
    </row>
    <row r="86" spans="3:31" ht="14" customHeight="1" x14ac:dyDescent="0.25">
      <c r="C86" s="81" t="s">
        <v>158</v>
      </c>
      <c r="Q86" s="152"/>
      <c r="R86" s="93"/>
      <c r="S86" s="156"/>
      <c r="T86" s="156"/>
      <c r="U86" s="156"/>
      <c r="V86" s="156"/>
      <c r="W86" s="156"/>
      <c r="X86" s="156"/>
      <c r="Y86" s="156"/>
      <c r="Z86" s="156"/>
      <c r="AA86" s="156"/>
      <c r="AB86" s="156"/>
      <c r="AC86" s="156"/>
      <c r="AD86" s="156"/>
      <c r="AE86" s="156"/>
    </row>
    <row r="87" spans="3:31" ht="14" customHeight="1" x14ac:dyDescent="0.25">
      <c r="C87" s="83" t="s">
        <v>137</v>
      </c>
      <c r="D87" s="83" t="s">
        <v>138</v>
      </c>
      <c r="E87" s="83" t="s">
        <v>139</v>
      </c>
      <c r="F87" s="83" t="s">
        <v>140</v>
      </c>
      <c r="G87" s="83" t="s">
        <v>141</v>
      </c>
      <c r="H87" s="83" t="s">
        <v>142</v>
      </c>
      <c r="I87" s="83" t="s">
        <v>143</v>
      </c>
      <c r="J87" s="83" t="s">
        <v>144</v>
      </c>
      <c r="K87" s="83" t="s">
        <v>145</v>
      </c>
      <c r="L87" s="83" t="s">
        <v>146</v>
      </c>
      <c r="M87" s="83" t="s">
        <v>147</v>
      </c>
      <c r="N87" s="83" t="s">
        <v>148</v>
      </c>
      <c r="O87" s="83" t="s">
        <v>149</v>
      </c>
      <c r="P87" s="83" t="s">
        <v>150</v>
      </c>
      <c r="Q87" s="152"/>
      <c r="R87" s="93"/>
      <c r="S87" s="156"/>
      <c r="T87" s="156"/>
      <c r="U87" s="156"/>
      <c r="V87" s="156"/>
      <c r="W87" s="156"/>
      <c r="X87" s="156"/>
      <c r="Y87" s="156"/>
      <c r="Z87" s="156"/>
      <c r="AA87" s="156"/>
      <c r="AB87" s="156"/>
      <c r="AC87" s="156"/>
      <c r="AD87" s="156"/>
      <c r="AE87" s="156"/>
    </row>
    <row r="88" spans="3:31" ht="14" customHeight="1" x14ac:dyDescent="0.25">
      <c r="C88" s="84">
        <v>2023</v>
      </c>
      <c r="D88" s="85">
        <v>7626</v>
      </c>
      <c r="E88" s="85">
        <v>9964</v>
      </c>
      <c r="F88" s="85">
        <v>18117</v>
      </c>
      <c r="G88" s="85">
        <v>11477</v>
      </c>
      <c r="H88" s="85">
        <v>17632</v>
      </c>
      <c r="I88" s="85">
        <v>16754</v>
      </c>
      <c r="J88" s="85">
        <v>10369</v>
      </c>
      <c r="K88" s="85">
        <v>14341</v>
      </c>
      <c r="L88" s="85">
        <v>17837</v>
      </c>
      <c r="M88" s="85">
        <v>15157</v>
      </c>
      <c r="N88" s="85">
        <v>15383</v>
      </c>
      <c r="O88" s="85">
        <v>18574</v>
      </c>
      <c r="P88" s="86">
        <f>SUM(D88:O88)</f>
        <v>173231</v>
      </c>
      <c r="X88" s="159"/>
    </row>
    <row r="89" spans="3:31" ht="14" customHeight="1" x14ac:dyDescent="0.25">
      <c r="C89" s="84">
        <v>2024</v>
      </c>
      <c r="D89" s="85">
        <v>9003</v>
      </c>
      <c r="E89" s="85">
        <v>9725</v>
      </c>
      <c r="F89" s="85">
        <v>13890</v>
      </c>
      <c r="G89" s="85">
        <v>12522</v>
      </c>
      <c r="H89" s="85">
        <v>13439</v>
      </c>
      <c r="I89" s="85">
        <v>14358</v>
      </c>
      <c r="J89" s="85">
        <v>9740</v>
      </c>
      <c r="K89" s="85">
        <v>10653</v>
      </c>
      <c r="L89" s="85">
        <v>16728</v>
      </c>
      <c r="M89" s="85">
        <v>15569</v>
      </c>
      <c r="N89" s="85">
        <v>15321</v>
      </c>
      <c r="O89" s="85">
        <v>16494</v>
      </c>
      <c r="P89" s="86">
        <f>SUM(D89:O89)</f>
        <v>157442</v>
      </c>
    </row>
    <row r="90" spans="3:31" ht="14" customHeight="1" x14ac:dyDescent="0.25">
      <c r="C90" s="84">
        <v>2025</v>
      </c>
      <c r="D90" s="85">
        <v>10124</v>
      </c>
      <c r="E90" s="85">
        <v>11978</v>
      </c>
      <c r="F90" s="85">
        <v>14702</v>
      </c>
      <c r="G90" s="85">
        <v>15384</v>
      </c>
      <c r="H90" s="85">
        <v>16236</v>
      </c>
      <c r="I90" s="85">
        <v>17989</v>
      </c>
      <c r="J90" s="85">
        <f>6172+4840</f>
        <v>11012</v>
      </c>
      <c r="K90" s="85">
        <f>6772+5134</f>
        <v>11906</v>
      </c>
      <c r="L90" s="85">
        <f>9619+7622</f>
        <v>17241</v>
      </c>
      <c r="M90" s="85">
        <f>8707+7111</f>
        <v>15818</v>
      </c>
      <c r="N90" s="85">
        <f>8496+5253</f>
        <v>13749</v>
      </c>
      <c r="O90" s="85">
        <f>10290+6081</f>
        <v>16371</v>
      </c>
      <c r="P90" s="86">
        <f>SUM(D90:O90)</f>
        <v>172510</v>
      </c>
      <c r="Q90" s="152"/>
    </row>
    <row r="91" spans="3:31" ht="14" customHeight="1" x14ac:dyDescent="0.25">
      <c r="C91" s="87" t="s">
        <v>118</v>
      </c>
      <c r="D91" s="88">
        <f t="shared" ref="D91:O91" si="35">D90/D89-1</f>
        <v>0.12451405087193157</v>
      </c>
      <c r="E91" s="88">
        <f t="shared" si="35"/>
        <v>0.23167095115681224</v>
      </c>
      <c r="F91" s="88">
        <f t="shared" si="35"/>
        <v>5.8459323254139717E-2</v>
      </c>
      <c r="G91" s="88">
        <f t="shared" si="35"/>
        <v>0.22855773838045046</v>
      </c>
      <c r="H91" s="88">
        <f t="shared" si="35"/>
        <v>0.20812560458367435</v>
      </c>
      <c r="I91" s="88">
        <f t="shared" si="35"/>
        <v>0.25289037470399767</v>
      </c>
      <c r="J91" s="88">
        <f t="shared" si="35"/>
        <v>0.13059548254620124</v>
      </c>
      <c r="K91" s="88">
        <f t="shared" si="35"/>
        <v>0.11761944992021034</v>
      </c>
      <c r="L91" s="88">
        <f t="shared" si="35"/>
        <v>3.0667144906743271E-2</v>
      </c>
      <c r="M91" s="88">
        <f t="shared" si="35"/>
        <v>1.599332005909182E-2</v>
      </c>
      <c r="N91" s="88">
        <f t="shared" si="35"/>
        <v>-0.10260426865087136</v>
      </c>
      <c r="O91" s="88">
        <f t="shared" si="35"/>
        <v>-7.4572571844306879E-3</v>
      </c>
      <c r="P91" s="89">
        <f>P90/P89-1</f>
        <v>9.5705085047191885E-2</v>
      </c>
      <c r="Q91" s="152"/>
    </row>
    <row r="92" spans="3:31" ht="14" customHeight="1" x14ac:dyDescent="0.25">
      <c r="C92" s="87" t="s">
        <v>48</v>
      </c>
      <c r="D92" s="88">
        <f>D90/O89-1</f>
        <v>-0.38620104280344369</v>
      </c>
      <c r="E92" s="88">
        <f t="shared" ref="E92:N92" si="36">E90/D90-1</f>
        <v>0.18312919794547611</v>
      </c>
      <c r="F92" s="88">
        <f t="shared" si="36"/>
        <v>0.22741693104024052</v>
      </c>
      <c r="G92" s="88">
        <f t="shared" si="36"/>
        <v>4.6388246497075292E-2</v>
      </c>
      <c r="H92" s="88">
        <f t="shared" si="36"/>
        <v>5.5382215288611647E-2</v>
      </c>
      <c r="I92" s="88">
        <f t="shared" si="36"/>
        <v>0.10796994333579701</v>
      </c>
      <c r="J92" s="88">
        <f t="shared" si="36"/>
        <v>-0.38784812941241875</v>
      </c>
      <c r="K92" s="88">
        <f t="shared" si="36"/>
        <v>8.1184162731565479E-2</v>
      </c>
      <c r="L92" s="88">
        <f t="shared" si="36"/>
        <v>0.44809339828657824</v>
      </c>
      <c r="M92" s="88">
        <f t="shared" si="36"/>
        <v>-8.2535815787947331E-2</v>
      </c>
      <c r="N92" s="88">
        <f t="shared" si="36"/>
        <v>-0.13080035402705781</v>
      </c>
      <c r="O92" s="88">
        <f t="shared" ref="O92" si="37">O90/N90-1</f>
        <v>0.19070477852934764</v>
      </c>
      <c r="P92" s="88"/>
      <c r="Q92" s="152"/>
    </row>
    <row r="93" spans="3:31" ht="14" customHeight="1" x14ac:dyDescent="0.25">
      <c r="C93" s="84">
        <v>2026</v>
      </c>
      <c r="D93" s="85">
        <f>6710+3582</f>
        <v>10292</v>
      </c>
      <c r="E93" s="85">
        <f>7650+4912</f>
        <v>12562</v>
      </c>
      <c r="F93" s="85">
        <f>10875+6466</f>
        <v>17341</v>
      </c>
      <c r="G93" s="85">
        <f>9834+5810</f>
        <v>15644</v>
      </c>
      <c r="H93" s="85">
        <f>10718+6645</f>
        <v>17363</v>
      </c>
      <c r="I93" s="85"/>
      <c r="J93" s="85"/>
      <c r="K93" s="85"/>
      <c r="L93" s="85"/>
      <c r="M93" s="85"/>
      <c r="N93" s="85"/>
      <c r="O93" s="85"/>
      <c r="P93" s="86"/>
      <c r="Q93" s="152"/>
    </row>
    <row r="94" spans="3:31" ht="14" customHeight="1" x14ac:dyDescent="0.25">
      <c r="C94" s="87" t="s">
        <v>118</v>
      </c>
      <c r="D94" s="88">
        <f>D93/D90-1</f>
        <v>1.6594231529039938E-2</v>
      </c>
      <c r="E94" s="88">
        <f t="shared" ref="E94:F94" si="38">E93/E90-1</f>
        <v>4.8756052763399671E-2</v>
      </c>
      <c r="F94" s="88">
        <f t="shared" si="38"/>
        <v>0.17949938783838926</v>
      </c>
      <c r="G94" s="88">
        <f t="shared" ref="G94:H94" si="39">G93/G90-1</f>
        <v>1.690067602704115E-2</v>
      </c>
      <c r="H94" s="88">
        <f t="shared" si="39"/>
        <v>6.9413648681941442E-2</v>
      </c>
      <c r="I94" s="88"/>
      <c r="J94" s="88"/>
      <c r="K94" s="88"/>
      <c r="L94" s="88"/>
      <c r="M94" s="88"/>
      <c r="N94" s="88"/>
      <c r="O94" s="88"/>
      <c r="P94" s="89"/>
      <c r="Q94" s="152"/>
    </row>
    <row r="95" spans="3:31" ht="14" customHeight="1" x14ac:dyDescent="0.25">
      <c r="C95" s="87" t="s">
        <v>48</v>
      </c>
      <c r="D95" s="88">
        <f>D93/O90-1</f>
        <v>-0.37132734713823223</v>
      </c>
      <c r="E95" s="88">
        <f>E93/D93-1</f>
        <v>0.2205596579867859</v>
      </c>
      <c r="F95" s="88">
        <f>F93/E93-1</f>
        <v>0.38043305206177358</v>
      </c>
      <c r="G95" s="88">
        <f>G93/F93-1</f>
        <v>-9.7860561674643853E-2</v>
      </c>
      <c r="H95" s="88">
        <f>H93/G93-1</f>
        <v>0.10988238302224484</v>
      </c>
      <c r="I95" s="88"/>
      <c r="J95" s="88"/>
      <c r="K95" s="88"/>
      <c r="L95" s="88"/>
      <c r="M95" s="88"/>
      <c r="N95" s="88"/>
      <c r="O95" s="88"/>
      <c r="P95" s="88"/>
      <c r="Q95" s="152"/>
    </row>
    <row r="96" spans="3:31" ht="14" customHeight="1" x14ac:dyDescent="0.25">
      <c r="Q96" s="152"/>
    </row>
    <row r="97" spans="3:31" ht="14" customHeight="1" x14ac:dyDescent="0.25">
      <c r="C97" s="83" t="s">
        <v>151</v>
      </c>
      <c r="D97" s="83" t="s">
        <v>138</v>
      </c>
      <c r="E97" s="83" t="s">
        <v>139</v>
      </c>
      <c r="F97" s="83" t="s">
        <v>140</v>
      </c>
      <c r="G97" s="83" t="s">
        <v>141</v>
      </c>
      <c r="H97" s="83" t="s">
        <v>142</v>
      </c>
      <c r="I97" s="83" t="s">
        <v>143</v>
      </c>
      <c r="J97" s="83" t="s">
        <v>144</v>
      </c>
      <c r="K97" s="83" t="s">
        <v>145</v>
      </c>
      <c r="L97" s="83" t="s">
        <v>146</v>
      </c>
      <c r="M97" s="83" t="s">
        <v>147</v>
      </c>
      <c r="N97" s="83" t="s">
        <v>148</v>
      </c>
      <c r="O97" s="83" t="s">
        <v>149</v>
      </c>
      <c r="P97" s="83" t="s">
        <v>150</v>
      </c>
      <c r="Q97" s="152"/>
    </row>
    <row r="98" spans="3:31" ht="14" customHeight="1" x14ac:dyDescent="0.25">
      <c r="C98" s="84">
        <v>2023</v>
      </c>
      <c r="D98" s="90">
        <f>D88/D104</f>
        <v>0.52243611701034454</v>
      </c>
      <c r="E98" s="90">
        <f t="shared" ref="E98:P98" si="40">E88/E104</f>
        <v>0.54028847196616414</v>
      </c>
      <c r="F98" s="90">
        <f t="shared" si="40"/>
        <v>0.59869138495092689</v>
      </c>
      <c r="G98" s="90">
        <f t="shared" si="40"/>
        <v>0.55751481589429708</v>
      </c>
      <c r="H98" s="90">
        <f t="shared" si="40"/>
        <v>0.61888381888381894</v>
      </c>
      <c r="I98" s="90">
        <f t="shared" si="40"/>
        <v>0.59236997489658094</v>
      </c>
      <c r="J98" s="90">
        <f t="shared" si="40"/>
        <v>0.59936416184971097</v>
      </c>
      <c r="K98" s="90">
        <f t="shared" si="40"/>
        <v>0.60077080976917596</v>
      </c>
      <c r="L98" s="90">
        <f t="shared" si="40"/>
        <v>0.63397902967833664</v>
      </c>
      <c r="M98" s="90">
        <f t="shared" si="40"/>
        <v>0.60589222897345696</v>
      </c>
      <c r="N98" s="90">
        <f t="shared" si="40"/>
        <v>0.60548689285995438</v>
      </c>
      <c r="O98" s="90">
        <f t="shared" si="40"/>
        <v>0.63099605924718027</v>
      </c>
      <c r="P98" s="91">
        <f t="shared" si="40"/>
        <v>0.59771308695307135</v>
      </c>
      <c r="Q98" s="152"/>
    </row>
    <row r="99" spans="3:31" ht="14" customHeight="1" x14ac:dyDescent="0.25">
      <c r="C99" s="84">
        <v>2024</v>
      </c>
      <c r="D99" s="90">
        <f t="shared" ref="D99:P99" si="41">D89/D105</f>
        <v>0.52452808203216028</v>
      </c>
      <c r="E99" s="90">
        <f t="shared" si="41"/>
        <v>0.51822444847063842</v>
      </c>
      <c r="F99" s="90">
        <f t="shared" si="41"/>
        <v>0.58139048177137831</v>
      </c>
      <c r="G99" s="90">
        <f t="shared" si="41"/>
        <v>0.56977749465350136</v>
      </c>
      <c r="H99" s="90">
        <f t="shared" si="41"/>
        <v>0.53554634574001758</v>
      </c>
      <c r="I99" s="90">
        <f t="shared" si="41"/>
        <v>0.56525333648281562</v>
      </c>
      <c r="J99" s="90">
        <f t="shared" si="41"/>
        <v>0.59619269143661624</v>
      </c>
      <c r="K99" s="90">
        <f t="shared" si="41"/>
        <v>0.55962387056104224</v>
      </c>
      <c r="L99" s="90">
        <f t="shared" si="41"/>
        <v>0.65026239067055391</v>
      </c>
      <c r="M99" s="90">
        <f t="shared" si="41"/>
        <v>0.62211300247742352</v>
      </c>
      <c r="N99" s="90">
        <f t="shared" si="41"/>
        <v>0.61668813395588473</v>
      </c>
      <c r="O99" s="90">
        <f t="shared" si="41"/>
        <v>0.62865419064679651</v>
      </c>
      <c r="P99" s="91">
        <f t="shared" si="41"/>
        <v>0.58420470652843437</v>
      </c>
    </row>
    <row r="100" spans="3:31" ht="14" customHeight="1" x14ac:dyDescent="0.25">
      <c r="C100" s="84">
        <v>2025</v>
      </c>
      <c r="D100" s="90">
        <f t="shared" ref="D100:P100" si="42">D90/D106</f>
        <v>0.51568867155664222</v>
      </c>
      <c r="E100" s="90">
        <f t="shared" si="42"/>
        <v>0.61087311301509584</v>
      </c>
      <c r="F100" s="90">
        <f t="shared" si="42"/>
        <v>0.60742026111386549</v>
      </c>
      <c r="G100" s="90">
        <f t="shared" si="42"/>
        <v>0.63329491190515397</v>
      </c>
      <c r="H100" s="90">
        <f t="shared" si="42"/>
        <v>0.63236611489776051</v>
      </c>
      <c r="I100" s="90">
        <f t="shared" si="42"/>
        <v>0.65260293850897877</v>
      </c>
      <c r="J100" s="90">
        <f t="shared" si="42"/>
        <v>0.62270979416421623</v>
      </c>
      <c r="K100" s="90">
        <f t="shared" si="42"/>
        <v>0.59034113447044823</v>
      </c>
      <c r="L100" s="90">
        <f t="shared" si="42"/>
        <v>0.68419381721496886</v>
      </c>
      <c r="M100" s="90">
        <f t="shared" si="42"/>
        <v>0.65694825151590663</v>
      </c>
      <c r="N100" s="90">
        <f t="shared" si="42"/>
        <v>0.65421583555386376</v>
      </c>
      <c r="O100" s="90">
        <f t="shared" si="42"/>
        <v>0.68563889935921596</v>
      </c>
      <c r="P100" s="91">
        <f t="shared" si="42"/>
        <v>0.63190939127759183</v>
      </c>
    </row>
    <row r="101" spans="3:31" ht="14" customHeight="1" x14ac:dyDescent="0.25">
      <c r="C101" s="84">
        <v>2026</v>
      </c>
      <c r="D101" s="90">
        <f>D93/D109</f>
        <v>0.64160588491989279</v>
      </c>
      <c r="E101" s="90">
        <f>E93/E109</f>
        <v>0.64950105992451268</v>
      </c>
      <c r="F101" s="90">
        <f>F93/F109</f>
        <v>0.65245691925652793</v>
      </c>
      <c r="G101" s="90">
        <f>G93/G109</f>
        <v>0.64786515923303101</v>
      </c>
      <c r="H101" s="90">
        <f>H93/H109</f>
        <v>0.66819318837791031</v>
      </c>
      <c r="I101" s="90"/>
      <c r="J101" s="90"/>
      <c r="K101" s="90"/>
      <c r="L101" s="90"/>
      <c r="M101" s="90"/>
      <c r="N101" s="90"/>
      <c r="O101" s="90"/>
      <c r="P101" s="91"/>
      <c r="Q101" s="154"/>
      <c r="S101" s="154"/>
      <c r="T101" s="154"/>
      <c r="U101" s="154"/>
      <c r="V101" s="154"/>
      <c r="W101" s="154"/>
      <c r="X101" s="154"/>
      <c r="Y101" s="154"/>
      <c r="Z101" s="154"/>
      <c r="AA101" s="154"/>
      <c r="AB101" s="154"/>
      <c r="AC101" s="154"/>
      <c r="AD101" s="154"/>
      <c r="AE101" s="154"/>
    </row>
    <row r="102" spans="3:31" ht="14" customHeight="1" x14ac:dyDescent="0.25"/>
    <row r="103" spans="3:31" ht="14" customHeight="1" x14ac:dyDescent="0.25">
      <c r="C103" s="83" t="s">
        <v>152</v>
      </c>
      <c r="D103" s="83" t="s">
        <v>138</v>
      </c>
      <c r="E103" s="83" t="s">
        <v>139</v>
      </c>
      <c r="F103" s="83" t="s">
        <v>140</v>
      </c>
      <c r="G103" s="83" t="s">
        <v>141</v>
      </c>
      <c r="H103" s="83" t="s">
        <v>142</v>
      </c>
      <c r="I103" s="83" t="s">
        <v>143</v>
      </c>
      <c r="J103" s="83" t="s">
        <v>144</v>
      </c>
      <c r="K103" s="83" t="s">
        <v>145</v>
      </c>
      <c r="L103" s="83" t="s">
        <v>146</v>
      </c>
      <c r="M103" s="83" t="s">
        <v>147</v>
      </c>
      <c r="N103" s="83" t="s">
        <v>148</v>
      </c>
      <c r="O103" s="83" t="s">
        <v>149</v>
      </c>
      <c r="P103" s="83" t="s">
        <v>150</v>
      </c>
    </row>
    <row r="104" spans="3:31" ht="14" customHeight="1" x14ac:dyDescent="0.25">
      <c r="C104" s="84">
        <v>2023</v>
      </c>
      <c r="D104" s="85">
        <v>14597</v>
      </c>
      <c r="E104" s="85">
        <v>18442</v>
      </c>
      <c r="F104" s="85">
        <v>30261</v>
      </c>
      <c r="G104" s="85">
        <v>20586</v>
      </c>
      <c r="H104" s="85">
        <v>28490</v>
      </c>
      <c r="I104" s="85">
        <v>28283</v>
      </c>
      <c r="J104" s="85">
        <v>17300</v>
      </c>
      <c r="K104" s="85">
        <v>23871</v>
      </c>
      <c r="L104" s="85">
        <v>28135</v>
      </c>
      <c r="M104" s="85">
        <v>25016</v>
      </c>
      <c r="N104" s="85">
        <v>25406</v>
      </c>
      <c r="O104" s="85">
        <v>29436</v>
      </c>
      <c r="P104" s="86">
        <f>SUM(D104:O104)</f>
        <v>289823</v>
      </c>
    </row>
    <row r="105" spans="3:31" ht="14" customHeight="1" x14ac:dyDescent="0.25">
      <c r="C105" s="84">
        <v>2024</v>
      </c>
      <c r="D105" s="85">
        <v>17164</v>
      </c>
      <c r="E105" s="85">
        <v>18766</v>
      </c>
      <c r="F105" s="85">
        <v>23891</v>
      </c>
      <c r="G105" s="85">
        <v>21977</v>
      </c>
      <c r="H105" s="85">
        <v>25094</v>
      </c>
      <c r="I105" s="85">
        <v>25401</v>
      </c>
      <c r="J105" s="85">
        <v>16337</v>
      </c>
      <c r="K105" s="85">
        <v>19036</v>
      </c>
      <c r="L105" s="85">
        <v>25725</v>
      </c>
      <c r="M105" s="85">
        <v>25026</v>
      </c>
      <c r="N105" s="85">
        <v>24844</v>
      </c>
      <c r="O105" s="85">
        <v>26237</v>
      </c>
      <c r="P105" s="86">
        <f>SUM(D105:O105)</f>
        <v>269498</v>
      </c>
    </row>
    <row r="106" spans="3:31" ht="14" customHeight="1" x14ac:dyDescent="0.25">
      <c r="C106" s="84">
        <v>2025</v>
      </c>
      <c r="D106" s="85">
        <v>19632</v>
      </c>
      <c r="E106" s="85">
        <v>19608</v>
      </c>
      <c r="F106" s="85">
        <v>24204</v>
      </c>
      <c r="G106" s="85">
        <v>24292</v>
      </c>
      <c r="H106" s="85">
        <v>25675</v>
      </c>
      <c r="I106" s="85">
        <v>27565</v>
      </c>
      <c r="J106" s="85">
        <v>17684</v>
      </c>
      <c r="K106" s="85">
        <v>20168</v>
      </c>
      <c r="L106" s="85">
        <v>25199</v>
      </c>
      <c r="M106" s="85">
        <v>24078</v>
      </c>
      <c r="N106" s="85">
        <v>21016</v>
      </c>
      <c r="O106" s="85">
        <v>23877</v>
      </c>
      <c r="P106" s="86">
        <f>SUM(D106:O106)</f>
        <v>272998</v>
      </c>
    </row>
    <row r="107" spans="3:31" ht="14" customHeight="1" x14ac:dyDescent="0.25">
      <c r="C107" s="87" t="s">
        <v>118</v>
      </c>
      <c r="D107" s="88">
        <f t="shared" ref="D107:O107" si="43">D106/D105-1</f>
        <v>0.14378932649732001</v>
      </c>
      <c r="E107" s="88">
        <f t="shared" si="43"/>
        <v>4.4868378983267565E-2</v>
      </c>
      <c r="F107" s="88">
        <f t="shared" si="43"/>
        <v>1.3101167803775571E-2</v>
      </c>
      <c r="G107" s="88">
        <f t="shared" si="43"/>
        <v>0.10533739818901577</v>
      </c>
      <c r="H107" s="88">
        <f t="shared" si="43"/>
        <v>2.3152944927074204E-2</v>
      </c>
      <c r="I107" s="88">
        <f t="shared" si="43"/>
        <v>8.5193496319042605E-2</v>
      </c>
      <c r="J107" s="88">
        <f t="shared" si="43"/>
        <v>8.2450878374242587E-2</v>
      </c>
      <c r="K107" s="88">
        <f t="shared" si="43"/>
        <v>5.9466274427400823E-2</v>
      </c>
      <c r="L107" s="88">
        <f t="shared" si="43"/>
        <v>-2.0447035957240067E-2</v>
      </c>
      <c r="M107" s="88">
        <f t="shared" si="43"/>
        <v>-3.7880604171661503E-2</v>
      </c>
      <c r="N107" s="88">
        <f t="shared" si="43"/>
        <v>-0.15408146836258252</v>
      </c>
      <c r="O107" s="88">
        <f t="shared" si="43"/>
        <v>-8.9949308228837177E-2</v>
      </c>
      <c r="P107" s="89">
        <f>P106/P105-1</f>
        <v>1.2987109366303207E-2</v>
      </c>
    </row>
    <row r="108" spans="3:31" ht="14" customHeight="1" x14ac:dyDescent="0.25">
      <c r="C108" s="87" t="s">
        <v>48</v>
      </c>
      <c r="D108" s="88">
        <f>D106/O105-1</f>
        <v>-0.25174372069977513</v>
      </c>
      <c r="E108" s="88">
        <f t="shared" ref="E108:N108" si="44">E106/D106-1</f>
        <v>-1.2224938875305957E-3</v>
      </c>
      <c r="F108" s="88">
        <f t="shared" si="44"/>
        <v>0.23439412484700117</v>
      </c>
      <c r="G108" s="88">
        <f t="shared" si="44"/>
        <v>3.6357626838539048E-3</v>
      </c>
      <c r="H108" s="88">
        <f t="shared" si="44"/>
        <v>5.6932323398649842E-2</v>
      </c>
      <c r="I108" s="88">
        <f t="shared" si="44"/>
        <v>7.3612463485881241E-2</v>
      </c>
      <c r="J108" s="88">
        <f t="shared" si="44"/>
        <v>-0.35846181752222017</v>
      </c>
      <c r="K108" s="88">
        <f t="shared" si="44"/>
        <v>0.14046595792807048</v>
      </c>
      <c r="L108" s="88">
        <f t="shared" si="44"/>
        <v>0.24945458151527178</v>
      </c>
      <c r="M108" s="88">
        <f t="shared" si="44"/>
        <v>-4.4485892297313367E-2</v>
      </c>
      <c r="N108" s="88">
        <f t="shared" si="44"/>
        <v>-0.12717003073344957</v>
      </c>
      <c r="O108" s="88">
        <f t="shared" ref="O108" si="45">O106/N106-1</f>
        <v>0.13613437381043014</v>
      </c>
      <c r="P108" s="89"/>
    </row>
    <row r="109" spans="3:31" ht="14" customHeight="1" x14ac:dyDescent="0.25">
      <c r="C109" s="84">
        <v>2026</v>
      </c>
      <c r="D109" s="85">
        <v>16041</v>
      </c>
      <c r="E109" s="85">
        <v>19341</v>
      </c>
      <c r="F109" s="85">
        <v>26578</v>
      </c>
      <c r="G109" s="85">
        <v>24147</v>
      </c>
      <c r="H109" s="85">
        <v>25985</v>
      </c>
      <c r="I109" s="85"/>
      <c r="J109" s="85"/>
      <c r="K109" s="85"/>
      <c r="L109" s="85"/>
      <c r="M109" s="85"/>
      <c r="N109" s="85"/>
      <c r="O109" s="85"/>
      <c r="P109" s="86"/>
      <c r="Q109" s="154"/>
      <c r="S109" s="154"/>
      <c r="T109" s="154"/>
      <c r="U109" s="154"/>
      <c r="V109" s="154"/>
      <c r="W109" s="154"/>
      <c r="X109" s="154"/>
      <c r="Y109" s="154"/>
      <c r="Z109" s="154"/>
      <c r="AA109" s="154"/>
      <c r="AB109" s="154"/>
      <c r="AC109" s="154"/>
      <c r="AD109" s="154"/>
      <c r="AE109" s="154"/>
    </row>
    <row r="110" spans="3:31" ht="14" customHeight="1" x14ac:dyDescent="0.25">
      <c r="C110" s="87" t="s">
        <v>118</v>
      </c>
      <c r="D110" s="88">
        <f>D109/D106-1</f>
        <v>-0.1829156479217604</v>
      </c>
      <c r="E110" s="88">
        <f t="shared" ref="E110:F110" si="46">E109/E106-1</f>
        <v>-1.3616891064871517E-2</v>
      </c>
      <c r="F110" s="88">
        <f t="shared" si="46"/>
        <v>9.8082961493968002E-2</v>
      </c>
      <c r="G110" s="88">
        <f t="shared" ref="G110:H110" si="47">G109/G106-1</f>
        <v>-5.9690433064383264E-3</v>
      </c>
      <c r="H110" s="88">
        <f t="shared" si="47"/>
        <v>1.2074001947419699E-2</v>
      </c>
      <c r="I110" s="88"/>
      <c r="J110" s="88"/>
      <c r="K110" s="88"/>
      <c r="L110" s="88"/>
      <c r="M110" s="88"/>
      <c r="N110" s="88"/>
      <c r="O110" s="88"/>
      <c r="P110" s="89"/>
      <c r="Q110" s="152"/>
    </row>
    <row r="111" spans="3:31" ht="14" customHeight="1" x14ac:dyDescent="0.25">
      <c r="C111" s="87" t="s">
        <v>48</v>
      </c>
      <c r="D111" s="88">
        <f>D109/O106-1</f>
        <v>-0.3281819324035683</v>
      </c>
      <c r="E111" s="88">
        <f>E109/D109-1</f>
        <v>0.20572283523471113</v>
      </c>
      <c r="F111" s="88">
        <f>F109/E109-1</f>
        <v>0.37417920479809741</v>
      </c>
      <c r="G111" s="88">
        <f>G109/F109-1</f>
        <v>-9.1466626533223017E-2</v>
      </c>
      <c r="H111" s="88">
        <f>H109/G109-1</f>
        <v>7.611711599784643E-2</v>
      </c>
      <c r="I111" s="88"/>
      <c r="J111" s="88"/>
      <c r="K111" s="88"/>
      <c r="L111" s="88"/>
      <c r="M111" s="88"/>
      <c r="N111" s="88"/>
      <c r="O111" s="88"/>
      <c r="P111" s="88"/>
      <c r="Q111" s="152"/>
    </row>
    <row r="112" spans="3:31" ht="14" customHeight="1" x14ac:dyDescent="0.25">
      <c r="C112" s="153" t="s">
        <v>159</v>
      </c>
    </row>
    <row r="113" spans="3:17" s="150" customFormat="1" ht="14" customHeight="1" x14ac:dyDescent="0.25">
      <c r="D113" s="80"/>
      <c r="E113" s="80"/>
      <c r="F113" s="80"/>
      <c r="G113" s="80"/>
      <c r="H113" s="80"/>
      <c r="I113" s="80"/>
      <c r="J113" s="80"/>
      <c r="K113" s="80"/>
      <c r="L113" s="80"/>
      <c r="M113" s="80"/>
      <c r="N113" s="80"/>
      <c r="O113" s="80"/>
      <c r="P113" s="80"/>
    </row>
    <row r="114" spans="3:17" ht="14" customHeight="1" x14ac:dyDescent="0.25">
      <c r="C114" s="81" t="s">
        <v>160</v>
      </c>
    </row>
    <row r="115" spans="3:17" ht="14" customHeight="1" x14ac:dyDescent="0.25">
      <c r="C115" s="83" t="s">
        <v>137</v>
      </c>
      <c r="D115" s="83" t="s">
        <v>138</v>
      </c>
      <c r="E115" s="83" t="s">
        <v>139</v>
      </c>
      <c r="F115" s="83" t="s">
        <v>140</v>
      </c>
      <c r="G115" s="83" t="s">
        <v>141</v>
      </c>
      <c r="H115" s="83" t="s">
        <v>142</v>
      </c>
      <c r="I115" s="83" t="s">
        <v>143</v>
      </c>
      <c r="J115" s="83" t="s">
        <v>144</v>
      </c>
      <c r="K115" s="83" t="s">
        <v>145</v>
      </c>
      <c r="L115" s="83" t="s">
        <v>146</v>
      </c>
      <c r="M115" s="83" t="s">
        <v>147</v>
      </c>
      <c r="N115" s="83" t="s">
        <v>148</v>
      </c>
      <c r="O115" s="83" t="s">
        <v>149</v>
      </c>
      <c r="P115" s="83" t="s">
        <v>150</v>
      </c>
      <c r="Q115" s="152"/>
    </row>
    <row r="116" spans="3:17" ht="14" customHeight="1" x14ac:dyDescent="0.25">
      <c r="C116" s="84">
        <v>2023</v>
      </c>
      <c r="D116" s="85">
        <v>1419</v>
      </c>
      <c r="E116" s="85">
        <v>6704</v>
      </c>
      <c r="F116" s="85">
        <v>17648</v>
      </c>
      <c r="G116" s="85">
        <v>8174</v>
      </c>
      <c r="H116" s="85">
        <v>11865</v>
      </c>
      <c r="I116" s="85">
        <v>14155</v>
      </c>
      <c r="J116" s="85">
        <v>6761</v>
      </c>
      <c r="K116" s="85">
        <v>9974</v>
      </c>
      <c r="L116" s="85">
        <v>9617</v>
      </c>
      <c r="M116" s="85">
        <v>8151</v>
      </c>
      <c r="N116" s="85">
        <v>9380</v>
      </c>
      <c r="O116" s="85">
        <v>10911</v>
      </c>
      <c r="P116" s="86">
        <f>SUM(D116:O116)</f>
        <v>114759</v>
      </c>
      <c r="Q116" s="152"/>
    </row>
    <row r="117" spans="3:17" ht="14" customHeight="1" x14ac:dyDescent="0.25">
      <c r="C117" s="84">
        <v>2024</v>
      </c>
      <c r="D117" s="85">
        <v>4811</v>
      </c>
      <c r="E117" s="85">
        <v>6794</v>
      </c>
      <c r="F117" s="85">
        <v>8919</v>
      </c>
      <c r="G117" s="85">
        <v>10229</v>
      </c>
      <c r="H117" s="85">
        <v>8437</v>
      </c>
      <c r="I117" s="85">
        <v>16059</v>
      </c>
      <c r="J117" s="85">
        <v>6087</v>
      </c>
      <c r="K117" s="85">
        <v>10480</v>
      </c>
      <c r="L117" s="85">
        <v>12641</v>
      </c>
      <c r="M117" s="85">
        <v>11040</v>
      </c>
      <c r="N117" s="85">
        <v>11094</v>
      </c>
      <c r="O117" s="85">
        <v>12261</v>
      </c>
      <c r="P117" s="86">
        <f>SUM(D117:O117)</f>
        <v>118852</v>
      </c>
      <c r="Q117" s="152"/>
    </row>
    <row r="118" spans="3:17" ht="14" customHeight="1" x14ac:dyDescent="0.25">
      <c r="C118" s="84">
        <v>2025</v>
      </c>
      <c r="D118" s="85">
        <v>9049</v>
      </c>
      <c r="E118" s="85">
        <v>8613</v>
      </c>
      <c r="F118" s="85">
        <v>12402</v>
      </c>
      <c r="G118" s="85">
        <v>10998</v>
      </c>
      <c r="H118" s="85">
        <v>13536</v>
      </c>
      <c r="I118" s="85">
        <v>17951</v>
      </c>
      <c r="J118" s="85">
        <f>9291+101</f>
        <v>9392</v>
      </c>
      <c r="K118" s="85">
        <f>13482+211</f>
        <v>13693</v>
      </c>
      <c r="L118" s="85">
        <f>14084+85</f>
        <v>14169</v>
      </c>
      <c r="M118" s="85">
        <f>10852+113</f>
        <v>10965</v>
      </c>
      <c r="N118" s="85">
        <f>19427+152</f>
        <v>19579</v>
      </c>
      <c r="O118" s="85">
        <f>P118-SUM(D118:N118)</f>
        <v>34637</v>
      </c>
      <c r="P118" s="86">
        <f>172233+2609+142</f>
        <v>174984</v>
      </c>
      <c r="Q118" s="152"/>
    </row>
    <row r="119" spans="3:17" ht="14" customHeight="1" x14ac:dyDescent="0.25">
      <c r="C119" s="87" t="s">
        <v>118</v>
      </c>
      <c r="D119" s="88">
        <f t="shared" ref="D119:O119" si="48">D118/D117-1</f>
        <v>0.88089794221575546</v>
      </c>
      <c r="E119" s="88">
        <f t="shared" si="48"/>
        <v>0.26773623785693257</v>
      </c>
      <c r="F119" s="88">
        <f t="shared" si="48"/>
        <v>0.39051463168516642</v>
      </c>
      <c r="G119" s="88">
        <f t="shared" si="48"/>
        <v>7.5178414312249586E-2</v>
      </c>
      <c r="H119" s="88">
        <f t="shared" si="48"/>
        <v>0.60436173995496034</v>
      </c>
      <c r="I119" s="88">
        <f t="shared" si="48"/>
        <v>0.11781555514041964</v>
      </c>
      <c r="J119" s="88">
        <f t="shared" si="48"/>
        <v>0.54296040742566132</v>
      </c>
      <c r="K119" s="88">
        <f t="shared" si="48"/>
        <v>0.30658396946564892</v>
      </c>
      <c r="L119" s="88">
        <f t="shared" si="48"/>
        <v>0.1208765129341034</v>
      </c>
      <c r="M119" s="88">
        <f t="shared" si="48"/>
        <v>-6.7934782608695121E-3</v>
      </c>
      <c r="N119" s="88">
        <f t="shared" si="48"/>
        <v>0.76482783486569317</v>
      </c>
      <c r="O119" s="88">
        <f t="shared" si="48"/>
        <v>1.824973493189789</v>
      </c>
      <c r="P119" s="89">
        <f>P118/P117-1</f>
        <v>0.47228485847945345</v>
      </c>
      <c r="Q119" s="152"/>
    </row>
    <row r="120" spans="3:17" ht="14" customHeight="1" x14ac:dyDescent="0.25">
      <c r="C120" s="87" t="s">
        <v>48</v>
      </c>
      <c r="D120" s="88">
        <f>D118/O117-1</f>
        <v>-0.26196884430307477</v>
      </c>
      <c r="E120" s="88">
        <f t="shared" ref="E120:N120" si="49">E118/D118-1</f>
        <v>-4.8182119571223314E-2</v>
      </c>
      <c r="F120" s="88">
        <f t="shared" si="49"/>
        <v>0.43991640543364685</v>
      </c>
      <c r="G120" s="88">
        <f t="shared" si="49"/>
        <v>-0.1132075471698113</v>
      </c>
      <c r="H120" s="88">
        <f t="shared" si="49"/>
        <v>0.23076923076923084</v>
      </c>
      <c r="I120" s="88">
        <f t="shared" si="49"/>
        <v>0.32616725768321508</v>
      </c>
      <c r="J120" s="88">
        <f t="shared" si="49"/>
        <v>-0.47679794997493175</v>
      </c>
      <c r="K120" s="88">
        <f t="shared" si="49"/>
        <v>0.45794293015332199</v>
      </c>
      <c r="L120" s="88">
        <f t="shared" si="49"/>
        <v>3.4762287300080352E-2</v>
      </c>
      <c r="M120" s="88">
        <f t="shared" si="49"/>
        <v>-0.2261274613593055</v>
      </c>
      <c r="N120" s="88">
        <f t="shared" si="49"/>
        <v>0.78559051527587775</v>
      </c>
      <c r="O120" s="88">
        <f t="shared" ref="O120" si="50">O118/N118-1</f>
        <v>0.7690893304050257</v>
      </c>
      <c r="P120" s="88"/>
      <c r="Q120" s="152"/>
    </row>
    <row r="121" spans="3:17" ht="14" customHeight="1" x14ac:dyDescent="0.25">
      <c r="C121" s="84">
        <v>2026</v>
      </c>
      <c r="D121" s="85">
        <f>2084+15+2</f>
        <v>2101</v>
      </c>
      <c r="E121" s="85">
        <f>7127+40+6</f>
        <v>7173</v>
      </c>
      <c r="F121" s="85">
        <f>17406+120+6</f>
        <v>17532</v>
      </c>
      <c r="G121" s="85">
        <f>10952+20+5</f>
        <v>10977</v>
      </c>
      <c r="H121" s="85">
        <f>15210+92+5</f>
        <v>15307</v>
      </c>
      <c r="I121" s="85"/>
      <c r="J121" s="85"/>
      <c r="K121" s="85"/>
      <c r="L121" s="85"/>
      <c r="M121" s="85"/>
      <c r="N121" s="85"/>
      <c r="O121" s="85"/>
      <c r="P121" s="86"/>
      <c r="Q121" s="152"/>
    </row>
    <row r="122" spans="3:17" ht="14" customHeight="1" x14ac:dyDescent="0.25">
      <c r="C122" s="87" t="s">
        <v>118</v>
      </c>
      <c r="D122" s="88">
        <f>D121/D118-1</f>
        <v>-0.76781964857995355</v>
      </c>
      <c r="E122" s="88">
        <f t="shared" ref="E122:F122" si="51">E121/E118-1</f>
        <v>-0.16718913270637403</v>
      </c>
      <c r="F122" s="88">
        <f t="shared" si="51"/>
        <v>0.41364296081277208</v>
      </c>
      <c r="G122" s="88">
        <f t="shared" ref="G122:H122" si="52">G121/G118-1</f>
        <v>-1.909438079650827E-3</v>
      </c>
      <c r="H122" s="88">
        <f t="shared" si="52"/>
        <v>0.13083628841607564</v>
      </c>
      <c r="I122" s="88"/>
      <c r="J122" s="88"/>
      <c r="K122" s="88"/>
      <c r="L122" s="88"/>
      <c r="M122" s="88"/>
      <c r="N122" s="88"/>
      <c r="O122" s="88"/>
      <c r="P122" s="89"/>
      <c r="Q122" s="152"/>
    </row>
    <row r="123" spans="3:17" ht="14" customHeight="1" x14ac:dyDescent="0.25">
      <c r="C123" s="87" t="s">
        <v>48</v>
      </c>
      <c r="D123" s="88">
        <f>D121/O118-1</f>
        <v>-0.93934232179461274</v>
      </c>
      <c r="E123" s="88">
        <f>E121/D121-1</f>
        <v>2.4140885292717753</v>
      </c>
      <c r="F123" s="88">
        <f>F121/E121-1</f>
        <v>1.4441656210790463</v>
      </c>
      <c r="G123" s="88">
        <f>G121/F121-1</f>
        <v>-0.37388774811772763</v>
      </c>
      <c r="H123" s="88">
        <f>H121/G121-1</f>
        <v>0.39446114603261373</v>
      </c>
      <c r="I123" s="88"/>
      <c r="J123" s="88"/>
      <c r="K123" s="88"/>
      <c r="L123" s="88"/>
      <c r="M123" s="88"/>
      <c r="N123" s="88"/>
      <c r="O123" s="88"/>
      <c r="P123" s="88"/>
      <c r="Q123" s="152"/>
    </row>
    <row r="124" spans="3:17" ht="14" customHeight="1" x14ac:dyDescent="0.25"/>
    <row r="125" spans="3:17" ht="14" customHeight="1" x14ac:dyDescent="0.25">
      <c r="C125" s="83" t="s">
        <v>151</v>
      </c>
      <c r="D125" s="83" t="s">
        <v>138</v>
      </c>
      <c r="E125" s="83" t="s">
        <v>139</v>
      </c>
      <c r="F125" s="83" t="s">
        <v>140</v>
      </c>
      <c r="G125" s="83" t="s">
        <v>141</v>
      </c>
      <c r="H125" s="83" t="s">
        <v>142</v>
      </c>
      <c r="I125" s="83" t="s">
        <v>143</v>
      </c>
      <c r="J125" s="83" t="s">
        <v>144</v>
      </c>
      <c r="K125" s="83" t="s">
        <v>145</v>
      </c>
      <c r="L125" s="83" t="s">
        <v>146</v>
      </c>
      <c r="M125" s="83" t="s">
        <v>147</v>
      </c>
      <c r="N125" s="83" t="s">
        <v>148</v>
      </c>
      <c r="O125" s="83" t="s">
        <v>149</v>
      </c>
      <c r="P125" s="83" t="s">
        <v>150</v>
      </c>
    </row>
    <row r="126" spans="3:17" ht="14" customHeight="1" x14ac:dyDescent="0.25">
      <c r="C126" s="84">
        <v>2023</v>
      </c>
      <c r="D126" s="90">
        <f>D116/D132</f>
        <v>0.76290322580645165</v>
      </c>
      <c r="E126" s="90">
        <f t="shared" ref="E126:P126" si="53">E116/E132</f>
        <v>0.90119639736523727</v>
      </c>
      <c r="F126" s="90">
        <f t="shared" si="53"/>
        <v>0.9112878240214809</v>
      </c>
      <c r="G126" s="90">
        <f t="shared" si="53"/>
        <v>0.910650623885918</v>
      </c>
      <c r="H126" s="90">
        <f t="shared" si="53"/>
        <v>0.88929695697796429</v>
      </c>
      <c r="I126" s="90">
        <f t="shared" si="53"/>
        <v>0.90935371964538092</v>
      </c>
      <c r="J126" s="90">
        <f t="shared" si="53"/>
        <v>0.89847176079734214</v>
      </c>
      <c r="K126" s="90">
        <f t="shared" si="53"/>
        <v>0.89993684020572051</v>
      </c>
      <c r="L126" s="90">
        <f t="shared" si="53"/>
        <v>0.92989750531812032</v>
      </c>
      <c r="M126" s="90">
        <f t="shared" si="53"/>
        <v>0.9132773109243697</v>
      </c>
      <c r="N126" s="90">
        <f t="shared" si="53"/>
        <v>0.90645535369153463</v>
      </c>
      <c r="O126" s="90">
        <f t="shared" si="53"/>
        <v>0.89559221866535332</v>
      </c>
      <c r="P126" s="91">
        <f t="shared" si="53"/>
        <v>0.90393446496790197</v>
      </c>
    </row>
    <row r="127" spans="3:17" ht="14" customHeight="1" x14ac:dyDescent="0.25">
      <c r="C127" s="84">
        <v>2024</v>
      </c>
      <c r="D127" s="90">
        <f t="shared" ref="D127:P127" si="54">D117/D133</f>
        <v>0.93928153065208908</v>
      </c>
      <c r="E127" s="90">
        <f t="shared" si="54"/>
        <v>0.9205962059620596</v>
      </c>
      <c r="F127" s="90">
        <f t="shared" si="54"/>
        <v>0.91476923076923078</v>
      </c>
      <c r="G127" s="90">
        <f t="shared" si="54"/>
        <v>0.90997242238235032</v>
      </c>
      <c r="H127" s="90">
        <f t="shared" si="54"/>
        <v>0.82288110796839953</v>
      </c>
      <c r="I127" s="90">
        <f t="shared" si="54"/>
        <v>0.91702832343535856</v>
      </c>
      <c r="J127" s="90">
        <f t="shared" si="54"/>
        <v>0.94284386617100369</v>
      </c>
      <c r="K127" s="90">
        <f t="shared" si="54"/>
        <v>0.94295483174374661</v>
      </c>
      <c r="L127" s="90">
        <f t="shared" si="54"/>
        <v>0.96407870652837091</v>
      </c>
      <c r="M127" s="90">
        <f t="shared" si="54"/>
        <v>0.95567867036011078</v>
      </c>
      <c r="N127" s="90">
        <f t="shared" si="54"/>
        <v>0.94909744203952429</v>
      </c>
      <c r="O127" s="90">
        <f t="shared" si="54"/>
        <v>0.89811016700849688</v>
      </c>
      <c r="P127" s="91">
        <f t="shared" si="54"/>
        <v>0.92252761326678723</v>
      </c>
    </row>
    <row r="128" spans="3:17" ht="14" customHeight="1" x14ac:dyDescent="0.25">
      <c r="C128" s="84">
        <v>2025</v>
      </c>
      <c r="D128" s="90">
        <f t="shared" ref="D128:P128" si="55">D118/D134</f>
        <v>0.96853259124478219</v>
      </c>
      <c r="E128" s="90">
        <f t="shared" si="55"/>
        <v>0.96245390546429765</v>
      </c>
      <c r="F128" s="90">
        <f t="shared" si="55"/>
        <v>0.93220084185207452</v>
      </c>
      <c r="G128" s="90">
        <f t="shared" si="55"/>
        <v>0.97448165869218506</v>
      </c>
      <c r="H128" s="90">
        <f t="shared" si="55"/>
        <v>0.94922861150070126</v>
      </c>
      <c r="I128" s="90">
        <f t="shared" si="55"/>
        <v>0.97703151363413709</v>
      </c>
      <c r="J128" s="90">
        <f t="shared" si="55"/>
        <v>0.9821185820349263</v>
      </c>
      <c r="K128" s="90">
        <f t="shared" si="55"/>
        <v>0.98404599353215949</v>
      </c>
      <c r="L128" s="90">
        <f t="shared" si="55"/>
        <v>0.98300263632579432</v>
      </c>
      <c r="M128" s="90">
        <f t="shared" si="55"/>
        <v>0.98446758843598492</v>
      </c>
      <c r="N128" s="90">
        <f t="shared" si="55"/>
        <v>0.9839187898889391</v>
      </c>
      <c r="O128" s="90">
        <f t="shared" si="55"/>
        <v>0.98664046032017316</v>
      </c>
      <c r="P128" s="91">
        <f t="shared" si="55"/>
        <v>0.97456975772765242</v>
      </c>
    </row>
    <row r="129" spans="3:31" ht="14" customHeight="1" x14ac:dyDescent="0.25">
      <c r="C129" s="84">
        <v>2026</v>
      </c>
      <c r="D129" s="90">
        <f>D121/D137</f>
        <v>0.94724977457168624</v>
      </c>
      <c r="E129" s="90">
        <f>E121/E137</f>
        <v>0.98638613861386137</v>
      </c>
      <c r="F129" s="90">
        <f>F121/F137</f>
        <v>0.99134860050890583</v>
      </c>
      <c r="G129" s="90">
        <f>G121/G137</f>
        <v>0.98865171575249933</v>
      </c>
      <c r="H129" s="90">
        <f>H121/H137</f>
        <v>0.98374035989717223</v>
      </c>
      <c r="I129" s="90"/>
      <c r="J129" s="90"/>
      <c r="K129" s="90"/>
      <c r="L129" s="90"/>
      <c r="M129" s="90"/>
      <c r="N129" s="90"/>
      <c r="O129" s="90"/>
      <c r="P129" s="91"/>
      <c r="Q129" s="154"/>
      <c r="S129" s="154"/>
      <c r="T129" s="154"/>
      <c r="U129" s="154"/>
      <c r="V129" s="154"/>
      <c r="W129" s="154"/>
      <c r="X129" s="154"/>
      <c r="Y129" s="154"/>
      <c r="Z129" s="154"/>
      <c r="AA129" s="154"/>
      <c r="AB129" s="154"/>
      <c r="AC129" s="154"/>
      <c r="AD129" s="154"/>
      <c r="AE129" s="154"/>
    </row>
    <row r="130" spans="3:31" ht="14" customHeight="1" x14ac:dyDescent="0.25"/>
    <row r="131" spans="3:31" ht="14" customHeight="1" x14ac:dyDescent="0.25">
      <c r="C131" s="83" t="s">
        <v>152</v>
      </c>
      <c r="D131" s="83" t="s">
        <v>138</v>
      </c>
      <c r="E131" s="83" t="s">
        <v>139</v>
      </c>
      <c r="F131" s="83" t="s">
        <v>140</v>
      </c>
      <c r="G131" s="83" t="s">
        <v>141</v>
      </c>
      <c r="H131" s="83" t="s">
        <v>142</v>
      </c>
      <c r="I131" s="83" t="s">
        <v>143</v>
      </c>
      <c r="J131" s="83" t="s">
        <v>144</v>
      </c>
      <c r="K131" s="83" t="s">
        <v>145</v>
      </c>
      <c r="L131" s="83" t="s">
        <v>146</v>
      </c>
      <c r="M131" s="83" t="s">
        <v>147</v>
      </c>
      <c r="N131" s="83" t="s">
        <v>148</v>
      </c>
      <c r="O131" s="83" t="s">
        <v>149</v>
      </c>
      <c r="P131" s="83" t="s">
        <v>150</v>
      </c>
    </row>
    <row r="132" spans="3:31" ht="14" customHeight="1" x14ac:dyDescent="0.25">
      <c r="C132" s="84">
        <v>2023</v>
      </c>
      <c r="D132" s="85">
        <v>1860</v>
      </c>
      <c r="E132" s="85">
        <v>7439</v>
      </c>
      <c r="F132" s="85">
        <v>19366</v>
      </c>
      <c r="G132" s="85">
        <v>8976</v>
      </c>
      <c r="H132" s="85">
        <v>13342</v>
      </c>
      <c r="I132" s="85">
        <v>15566</v>
      </c>
      <c r="J132" s="85">
        <v>7525</v>
      </c>
      <c r="K132" s="85">
        <v>11083</v>
      </c>
      <c r="L132" s="85">
        <v>10342</v>
      </c>
      <c r="M132" s="85">
        <v>8925</v>
      </c>
      <c r="N132" s="85">
        <v>10348</v>
      </c>
      <c r="O132" s="85">
        <v>12183</v>
      </c>
      <c r="P132" s="86">
        <f>SUM(D132:O132)</f>
        <v>126955</v>
      </c>
    </row>
    <row r="133" spans="3:31" ht="14" customHeight="1" x14ac:dyDescent="0.25">
      <c r="C133" s="84">
        <v>2024</v>
      </c>
      <c r="D133" s="85">
        <v>5122</v>
      </c>
      <c r="E133" s="85">
        <v>7380</v>
      </c>
      <c r="F133" s="85">
        <v>9750</v>
      </c>
      <c r="G133" s="85">
        <v>11241</v>
      </c>
      <c r="H133" s="85">
        <v>10253</v>
      </c>
      <c r="I133" s="85">
        <v>17512</v>
      </c>
      <c r="J133" s="85">
        <v>6456</v>
      </c>
      <c r="K133" s="85">
        <v>11114</v>
      </c>
      <c r="L133" s="85">
        <v>13112</v>
      </c>
      <c r="M133" s="85">
        <v>11552</v>
      </c>
      <c r="N133" s="85">
        <v>11689</v>
      </c>
      <c r="O133" s="85">
        <v>13652</v>
      </c>
      <c r="P133" s="86">
        <f>SUM(D133:O133)</f>
        <v>128833</v>
      </c>
    </row>
    <row r="134" spans="3:31" ht="14" customHeight="1" x14ac:dyDescent="0.25">
      <c r="C134" s="84">
        <v>2025</v>
      </c>
      <c r="D134" s="85">
        <v>9343</v>
      </c>
      <c r="E134" s="85">
        <v>8949</v>
      </c>
      <c r="F134" s="85">
        <v>13304</v>
      </c>
      <c r="G134" s="85">
        <v>11286</v>
      </c>
      <c r="H134" s="85">
        <v>14260</v>
      </c>
      <c r="I134" s="85">
        <v>18373</v>
      </c>
      <c r="J134" s="85">
        <v>9563</v>
      </c>
      <c r="K134" s="85">
        <v>13915</v>
      </c>
      <c r="L134" s="85">
        <v>14414</v>
      </c>
      <c r="M134" s="85">
        <v>11138</v>
      </c>
      <c r="N134" s="85">
        <v>19899</v>
      </c>
      <c r="O134" s="85">
        <f>P134-SUM(D134:N134)</f>
        <v>35106</v>
      </c>
      <c r="P134" s="86">
        <v>179550</v>
      </c>
    </row>
    <row r="135" spans="3:31" ht="14" customHeight="1" x14ac:dyDescent="0.25">
      <c r="C135" s="87" t="s">
        <v>118</v>
      </c>
      <c r="D135" s="88">
        <f t="shared" ref="D135:O135" si="56">D134/D133-1</f>
        <v>0.82409215150331905</v>
      </c>
      <c r="E135" s="88">
        <f t="shared" si="56"/>
        <v>0.2126016260162602</v>
      </c>
      <c r="F135" s="88">
        <f t="shared" si="56"/>
        <v>0.36451282051282052</v>
      </c>
      <c r="G135" s="88">
        <f t="shared" si="56"/>
        <v>4.003202562049557E-3</v>
      </c>
      <c r="H135" s="88">
        <f t="shared" si="56"/>
        <v>0.39081244513800839</v>
      </c>
      <c r="I135" s="88">
        <f t="shared" si="56"/>
        <v>4.9166285975331236E-2</v>
      </c>
      <c r="J135" s="88">
        <f t="shared" si="56"/>
        <v>0.48125774473358107</v>
      </c>
      <c r="K135" s="88">
        <f t="shared" si="56"/>
        <v>0.25202447363685443</v>
      </c>
      <c r="L135" s="88">
        <f t="shared" si="56"/>
        <v>9.9298352654057398E-2</v>
      </c>
      <c r="M135" s="88">
        <f t="shared" si="56"/>
        <v>-3.5837950138504104E-2</v>
      </c>
      <c r="N135" s="88">
        <f t="shared" si="56"/>
        <v>0.7023697493369836</v>
      </c>
      <c r="O135" s="88">
        <f t="shared" si="56"/>
        <v>1.5714913565777908</v>
      </c>
      <c r="P135" s="89">
        <f>P134/P133-1</f>
        <v>0.39366466666149202</v>
      </c>
    </row>
    <row r="136" spans="3:31" ht="14" customHeight="1" x14ac:dyDescent="0.25">
      <c r="C136" s="87" t="s">
        <v>48</v>
      </c>
      <c r="D136" s="88">
        <f>D134/O133-1</f>
        <v>-0.31563140931731615</v>
      </c>
      <c r="E136" s="88">
        <f t="shared" ref="E136:N136" si="57">E134/D134-1</f>
        <v>-4.2170609012094573E-2</v>
      </c>
      <c r="F136" s="88">
        <f t="shared" si="57"/>
        <v>0.48664655268745105</v>
      </c>
      <c r="G136" s="88">
        <f t="shared" si="57"/>
        <v>-0.15168370414912813</v>
      </c>
      <c r="H136" s="88">
        <f t="shared" si="57"/>
        <v>0.26351231614389503</v>
      </c>
      <c r="I136" s="88">
        <f t="shared" si="57"/>
        <v>0.28842917251051903</v>
      </c>
      <c r="J136" s="88">
        <f t="shared" si="57"/>
        <v>-0.47950797365699671</v>
      </c>
      <c r="K136" s="88">
        <f t="shared" si="57"/>
        <v>0.45508731569591143</v>
      </c>
      <c r="L136" s="88">
        <f t="shared" si="57"/>
        <v>3.586058210564147E-2</v>
      </c>
      <c r="M136" s="88">
        <f t="shared" si="57"/>
        <v>-0.22727903427223528</v>
      </c>
      <c r="N136" s="88">
        <f t="shared" si="57"/>
        <v>0.78658646076494887</v>
      </c>
      <c r="O136" s="88">
        <f t="shared" ref="O136" si="58">O134/N134-1</f>
        <v>0.76420925674657014</v>
      </c>
      <c r="P136" s="89"/>
    </row>
    <row r="137" spans="3:31" ht="14" customHeight="1" x14ac:dyDescent="0.25">
      <c r="C137" s="84">
        <v>2026</v>
      </c>
      <c r="D137" s="85">
        <v>2218</v>
      </c>
      <c r="E137" s="85">
        <v>7272</v>
      </c>
      <c r="F137" s="85">
        <v>17685</v>
      </c>
      <c r="G137" s="85">
        <v>11103</v>
      </c>
      <c r="H137" s="85">
        <v>15560</v>
      </c>
      <c r="I137" s="85"/>
      <c r="J137" s="85"/>
      <c r="K137" s="85"/>
      <c r="L137" s="85"/>
      <c r="M137" s="85"/>
      <c r="N137" s="85"/>
      <c r="O137" s="85"/>
      <c r="P137" s="86"/>
      <c r="Q137" s="154"/>
      <c r="S137" s="154"/>
      <c r="T137" s="154"/>
      <c r="U137" s="154"/>
      <c r="V137" s="154"/>
      <c r="W137" s="154"/>
      <c r="X137" s="154"/>
      <c r="Y137" s="154"/>
      <c r="Z137" s="154"/>
      <c r="AA137" s="154"/>
      <c r="AB137" s="154"/>
      <c r="AC137" s="154"/>
      <c r="AD137" s="154"/>
      <c r="AE137" s="154"/>
    </row>
    <row r="138" spans="3:31" ht="14" customHeight="1" x14ac:dyDescent="0.25">
      <c r="C138" s="87" t="s">
        <v>118</v>
      </c>
      <c r="D138" s="88">
        <f>D137/D134-1</f>
        <v>-0.76260301830247246</v>
      </c>
      <c r="E138" s="88">
        <f t="shared" ref="E138:F138" si="59">E137/E134-1</f>
        <v>-0.18739523969158567</v>
      </c>
      <c r="F138" s="88">
        <f t="shared" si="59"/>
        <v>0.32929945880938072</v>
      </c>
      <c r="G138" s="88">
        <f t="shared" ref="G138:H138" si="60">G137/G134-1</f>
        <v>-1.6214779372674126E-2</v>
      </c>
      <c r="H138" s="88">
        <f t="shared" si="60"/>
        <v>9.1164095371669029E-2</v>
      </c>
      <c r="I138" s="88"/>
      <c r="J138" s="88"/>
      <c r="K138" s="88"/>
      <c r="L138" s="88"/>
      <c r="M138" s="88"/>
      <c r="N138" s="88"/>
      <c r="O138" s="88"/>
      <c r="P138" s="89"/>
      <c r="Q138" s="152"/>
    </row>
    <row r="139" spans="3:31" ht="14" customHeight="1" x14ac:dyDescent="0.25">
      <c r="C139" s="87" t="s">
        <v>48</v>
      </c>
      <c r="D139" s="88">
        <f>D137/O134-1</f>
        <v>-0.9368199168233351</v>
      </c>
      <c r="E139" s="88">
        <f>E137/D137-1</f>
        <v>2.2786293958521191</v>
      </c>
      <c r="F139" s="88">
        <f>F137/E137-1</f>
        <v>1.4319306930693068</v>
      </c>
      <c r="G139" s="88">
        <f>G137/F137-1</f>
        <v>-0.37217981340118744</v>
      </c>
      <c r="H139" s="88">
        <f>H137/G137-1</f>
        <v>0.4014230388183373</v>
      </c>
      <c r="I139" s="88"/>
      <c r="J139" s="88"/>
      <c r="K139" s="88"/>
      <c r="L139" s="88"/>
      <c r="M139" s="88"/>
      <c r="N139" s="88"/>
      <c r="O139" s="88"/>
      <c r="P139" s="88"/>
      <c r="Q139" s="152"/>
    </row>
    <row r="140" spans="3:31" ht="14" customHeight="1" x14ac:dyDescent="0.25">
      <c r="C140" s="222" t="s">
        <v>215</v>
      </c>
    </row>
    <row r="141" spans="3:31" s="150" customFormat="1" ht="14" customHeight="1" x14ac:dyDescent="0.25">
      <c r="D141" s="80"/>
      <c r="E141" s="80"/>
      <c r="F141" s="80"/>
      <c r="G141" s="80"/>
      <c r="H141" s="80"/>
      <c r="I141" s="80"/>
      <c r="J141" s="80"/>
      <c r="K141" s="80"/>
      <c r="L141" s="80"/>
      <c r="M141" s="80"/>
      <c r="N141" s="80"/>
      <c r="O141" s="80"/>
      <c r="P141" s="80"/>
    </row>
    <row r="142" spans="3:31" ht="14" customHeight="1" x14ac:dyDescent="0.25">
      <c r="C142" s="81" t="s">
        <v>161</v>
      </c>
    </row>
    <row r="143" spans="3:31" ht="14" customHeight="1" x14ac:dyDescent="0.25">
      <c r="C143" s="83" t="s">
        <v>137</v>
      </c>
      <c r="D143" s="83" t="s">
        <v>138</v>
      </c>
      <c r="E143" s="83" t="s">
        <v>139</v>
      </c>
      <c r="F143" s="83" t="s">
        <v>140</v>
      </c>
      <c r="G143" s="83" t="s">
        <v>141</v>
      </c>
      <c r="H143" s="83" t="s">
        <v>142</v>
      </c>
      <c r="I143" s="83" t="s">
        <v>143</v>
      </c>
      <c r="J143" s="83" t="s">
        <v>144</v>
      </c>
      <c r="K143" s="83" t="s">
        <v>145</v>
      </c>
      <c r="L143" s="83" t="s">
        <v>146</v>
      </c>
      <c r="M143" s="83" t="s">
        <v>147</v>
      </c>
      <c r="N143" s="83" t="s">
        <v>148</v>
      </c>
      <c r="O143" s="83" t="s">
        <v>149</v>
      </c>
      <c r="P143" s="83" t="s">
        <v>150</v>
      </c>
      <c r="Q143" s="152"/>
    </row>
    <row r="144" spans="3:31" ht="14" customHeight="1" x14ac:dyDescent="0.25">
      <c r="C144" s="84">
        <v>2023</v>
      </c>
      <c r="D144" s="85">
        <v>9484</v>
      </c>
      <c r="E144" s="85">
        <v>10537</v>
      </c>
      <c r="F144" s="85">
        <v>15547</v>
      </c>
      <c r="G144" s="85">
        <v>9939</v>
      </c>
      <c r="H144" s="85">
        <v>13268</v>
      </c>
      <c r="I144" s="85">
        <v>13717</v>
      </c>
      <c r="J144" s="85">
        <v>9495</v>
      </c>
      <c r="K144" s="85">
        <v>7437</v>
      </c>
      <c r="L144" s="85">
        <v>10535</v>
      </c>
      <c r="M144" s="85">
        <v>11665</v>
      </c>
      <c r="N144" s="85">
        <v>13730</v>
      </c>
      <c r="O144" s="85">
        <v>11346</v>
      </c>
      <c r="P144" s="86">
        <f>SUM(D144:O144)</f>
        <v>136700</v>
      </c>
      <c r="Q144" s="152"/>
    </row>
    <row r="145" spans="3:31" ht="14" customHeight="1" x14ac:dyDescent="0.25">
      <c r="C145" s="84">
        <v>2024</v>
      </c>
      <c r="D145" s="85">
        <v>7089</v>
      </c>
      <c r="E145" s="85">
        <v>9743</v>
      </c>
      <c r="F145" s="85">
        <v>11055</v>
      </c>
      <c r="G145" s="85">
        <v>7690</v>
      </c>
      <c r="H145" s="85">
        <v>9668</v>
      </c>
      <c r="I145" s="85">
        <f>13368+5471</f>
        <v>18839</v>
      </c>
      <c r="J145" s="85">
        <f>4263+4798</f>
        <v>9061</v>
      </c>
      <c r="K145" s="85">
        <f>2590+2398</f>
        <v>4988</v>
      </c>
      <c r="L145" s="85">
        <f>6423+4101</f>
        <v>10524</v>
      </c>
      <c r="M145" s="85">
        <v>9439</v>
      </c>
      <c r="N145" s="85">
        <v>10548</v>
      </c>
      <c r="O145" s="85">
        <f>3709+5840</f>
        <v>9549</v>
      </c>
      <c r="P145" s="86">
        <f>52852+65932</f>
        <v>118784</v>
      </c>
      <c r="Q145" s="152"/>
    </row>
    <row r="146" spans="3:31" ht="14" customHeight="1" x14ac:dyDescent="0.25">
      <c r="C146" s="84">
        <v>2025</v>
      </c>
      <c r="D146" s="85">
        <v>11679</v>
      </c>
      <c r="E146" s="85">
        <v>13221</v>
      </c>
      <c r="F146" s="85">
        <v>17234</v>
      </c>
      <c r="G146" s="85">
        <v>14757</v>
      </c>
      <c r="H146" s="85">
        <v>16097</v>
      </c>
      <c r="I146" s="85">
        <f>7973+9528</f>
        <v>17501</v>
      </c>
      <c r="J146" s="85">
        <f>5864+8789</f>
        <v>14653</v>
      </c>
      <c r="K146" s="85">
        <f>3298+4669</f>
        <v>7967</v>
      </c>
      <c r="L146" s="85">
        <f>7169+10670</f>
        <v>17839</v>
      </c>
      <c r="M146" s="85">
        <v>16164</v>
      </c>
      <c r="N146" s="85">
        <v>24373</v>
      </c>
      <c r="O146" s="85">
        <f>10186+12078</f>
        <v>22264</v>
      </c>
      <c r="P146" s="86">
        <f>99424+94973</f>
        <v>194397</v>
      </c>
      <c r="Q146" s="152"/>
    </row>
    <row r="147" spans="3:31" ht="14" customHeight="1" x14ac:dyDescent="0.25">
      <c r="C147" s="87" t="s">
        <v>118</v>
      </c>
      <c r="D147" s="88">
        <f t="shared" ref="D147:O147" si="61">D146/D145-1</f>
        <v>0.64748201438848918</v>
      </c>
      <c r="E147" s="88">
        <f t="shared" si="61"/>
        <v>0.35697423791440008</v>
      </c>
      <c r="F147" s="88">
        <f t="shared" si="61"/>
        <v>0.55893260967887826</v>
      </c>
      <c r="G147" s="88">
        <f t="shared" si="61"/>
        <v>0.91898569570871258</v>
      </c>
      <c r="H147" s="88">
        <f t="shared" si="61"/>
        <v>0.66497724451799756</v>
      </c>
      <c r="I147" s="88">
        <f t="shared" si="61"/>
        <v>-7.1022878072084517E-2</v>
      </c>
      <c r="J147" s="88">
        <f t="shared" si="61"/>
        <v>0.61715042489791405</v>
      </c>
      <c r="K147" s="88">
        <f t="shared" si="61"/>
        <v>0.59723336006415395</v>
      </c>
      <c r="L147" s="88">
        <f t="shared" si="61"/>
        <v>0.69507791714177114</v>
      </c>
      <c r="M147" s="88">
        <f t="shared" si="61"/>
        <v>0.71246954126496442</v>
      </c>
      <c r="N147" s="88">
        <f t="shared" si="61"/>
        <v>1.3106750094804704</v>
      </c>
      <c r="O147" s="88">
        <f t="shared" si="61"/>
        <v>1.3315530422033719</v>
      </c>
      <c r="P147" s="89">
        <f>P146/P145-1</f>
        <v>0.6365587957974137</v>
      </c>
      <c r="Q147" s="152"/>
    </row>
    <row r="148" spans="3:31" ht="14" customHeight="1" x14ac:dyDescent="0.25">
      <c r="C148" s="87" t="s">
        <v>48</v>
      </c>
      <c r="D148" s="88">
        <f>D146/O145-1</f>
        <v>0.22306000628338052</v>
      </c>
      <c r="E148" s="88">
        <f t="shared" ref="E148:N148" si="62">E146/D146-1</f>
        <v>0.13203185204212686</v>
      </c>
      <c r="F148" s="88">
        <f t="shared" si="62"/>
        <v>0.30353225928447158</v>
      </c>
      <c r="G148" s="88">
        <f t="shared" si="62"/>
        <v>-0.14372751537658113</v>
      </c>
      <c r="H148" s="88">
        <f t="shared" si="62"/>
        <v>9.0804364030629525E-2</v>
      </c>
      <c r="I148" s="88">
        <f t="shared" si="62"/>
        <v>8.7221221345592292E-2</v>
      </c>
      <c r="J148" s="88">
        <f t="shared" si="62"/>
        <v>-0.16273355808239531</v>
      </c>
      <c r="K148" s="88">
        <f t="shared" si="62"/>
        <v>-0.4562888145772197</v>
      </c>
      <c r="L148" s="88">
        <f t="shared" si="62"/>
        <v>1.2391113342537969</v>
      </c>
      <c r="M148" s="88">
        <f t="shared" si="62"/>
        <v>-9.3895397724087726E-2</v>
      </c>
      <c r="N148" s="88">
        <f t="shared" si="62"/>
        <v>0.50785696609750053</v>
      </c>
      <c r="O148" s="88">
        <f t="shared" ref="O148" si="63">O146/N146-1</f>
        <v>-8.6530176835022399E-2</v>
      </c>
      <c r="P148" s="88"/>
      <c r="Q148" s="152"/>
    </row>
    <row r="149" spans="3:31" ht="14" customHeight="1" x14ac:dyDescent="0.25">
      <c r="C149" s="84">
        <v>2026</v>
      </c>
      <c r="D149" s="85">
        <v>21948</v>
      </c>
      <c r="E149" s="85">
        <v>26097</v>
      </c>
      <c r="F149" s="85">
        <v>33135</v>
      </c>
      <c r="G149" s="85">
        <v>27422</v>
      </c>
      <c r="H149" s="85">
        <v>28738</v>
      </c>
      <c r="I149" s="85"/>
      <c r="J149" s="85"/>
      <c r="K149" s="85"/>
      <c r="L149" s="85"/>
      <c r="M149" s="85"/>
      <c r="N149" s="85"/>
      <c r="O149" s="85"/>
      <c r="P149" s="86"/>
      <c r="Q149" s="152"/>
    </row>
    <row r="150" spans="3:31" ht="14" customHeight="1" x14ac:dyDescent="0.25">
      <c r="C150" s="87" t="s">
        <v>118</v>
      </c>
      <c r="D150" s="88">
        <f>D149/D146-1</f>
        <v>0.87927048548677122</v>
      </c>
      <c r="E150" s="88">
        <f t="shared" ref="E150:F150" si="64">E149/E146-1</f>
        <v>0.97390515089630125</v>
      </c>
      <c r="F150" s="88">
        <f t="shared" si="64"/>
        <v>0.92265289543924789</v>
      </c>
      <c r="G150" s="88">
        <f t="shared" ref="G150:H150" si="65">G149/G146-1</f>
        <v>0.85823676899098733</v>
      </c>
      <c r="H150" s="88">
        <f t="shared" si="65"/>
        <v>0.78530160899546497</v>
      </c>
      <c r="I150" s="88"/>
      <c r="J150" s="88"/>
      <c r="K150" s="88"/>
      <c r="L150" s="88"/>
      <c r="M150" s="88"/>
      <c r="N150" s="88"/>
      <c r="O150" s="88"/>
      <c r="P150" s="89"/>
      <c r="Q150" s="152"/>
    </row>
    <row r="151" spans="3:31" ht="14" customHeight="1" x14ac:dyDescent="0.25">
      <c r="C151" s="87" t="s">
        <v>48</v>
      </c>
      <c r="D151" s="88">
        <f>D149/O146-1</f>
        <v>-1.4193316564858116E-2</v>
      </c>
      <c r="E151" s="88">
        <f>E149/D149-1</f>
        <v>0.18903772553307818</v>
      </c>
      <c r="F151" s="88">
        <f>F149/E149-1</f>
        <v>0.26968617082423263</v>
      </c>
      <c r="G151" s="88">
        <f>G149/F149-1</f>
        <v>-0.17241587445299533</v>
      </c>
      <c r="H151" s="88">
        <f>H149/G149-1</f>
        <v>4.7990664430019647E-2</v>
      </c>
      <c r="I151" s="88"/>
      <c r="J151" s="88"/>
      <c r="K151" s="88"/>
      <c r="L151" s="88"/>
      <c r="M151" s="88"/>
      <c r="N151" s="88"/>
      <c r="O151" s="88"/>
      <c r="P151" s="88"/>
      <c r="Q151" s="152"/>
    </row>
    <row r="152" spans="3:31" ht="14" customHeight="1" x14ac:dyDescent="0.25"/>
    <row r="153" spans="3:31" ht="14" customHeight="1" x14ac:dyDescent="0.25">
      <c r="C153" s="83" t="s">
        <v>151</v>
      </c>
      <c r="D153" s="83" t="s">
        <v>138</v>
      </c>
      <c r="E153" s="83" t="s">
        <v>139</v>
      </c>
      <c r="F153" s="83" t="s">
        <v>140</v>
      </c>
      <c r="G153" s="83" t="s">
        <v>141</v>
      </c>
      <c r="H153" s="83" t="s">
        <v>142</v>
      </c>
      <c r="I153" s="83" t="s">
        <v>143</v>
      </c>
      <c r="J153" s="83" t="s">
        <v>144</v>
      </c>
      <c r="K153" s="83" t="s">
        <v>145</v>
      </c>
      <c r="L153" s="83" t="s">
        <v>146</v>
      </c>
      <c r="M153" s="83" t="s">
        <v>147</v>
      </c>
      <c r="N153" s="83" t="s">
        <v>148</v>
      </c>
      <c r="O153" s="83" t="s">
        <v>149</v>
      </c>
      <c r="P153" s="83" t="s">
        <v>150</v>
      </c>
    </row>
    <row r="154" spans="3:31" ht="14" customHeight="1" x14ac:dyDescent="0.25">
      <c r="C154" s="84">
        <v>2023</v>
      </c>
      <c r="D154" s="90">
        <f>D144/D160</f>
        <v>7.2989217851728141E-2</v>
      </c>
      <c r="E154" s="90">
        <f t="shared" ref="E154:P154" si="66">E144/E160</f>
        <v>7.9539535761464428E-2</v>
      </c>
      <c r="F154" s="90">
        <f t="shared" si="66"/>
        <v>9.1311676641431194E-2</v>
      </c>
      <c r="G154" s="90">
        <f t="shared" si="66"/>
        <v>7.9091864018334609E-2</v>
      </c>
      <c r="H154" s="90">
        <f t="shared" si="66"/>
        <v>8.7511707362116956E-2</v>
      </c>
      <c r="I154" s="90">
        <f t="shared" si="66"/>
        <v>9.7288517869681471E-2</v>
      </c>
      <c r="J154" s="90">
        <f t="shared" si="66"/>
        <v>7.8404333501234491E-2</v>
      </c>
      <c r="K154" s="90">
        <f t="shared" si="66"/>
        <v>9.1781954608843752E-2</v>
      </c>
      <c r="L154" s="90">
        <f t="shared" si="66"/>
        <v>7.5998037829493159E-2</v>
      </c>
      <c r="M154" s="90">
        <f t="shared" si="66"/>
        <v>8.2332265213647463E-2</v>
      </c>
      <c r="N154" s="90">
        <f t="shared" si="66"/>
        <v>9.6938631421390045E-2</v>
      </c>
      <c r="O154" s="90">
        <f t="shared" si="66"/>
        <v>0.10003085739475424</v>
      </c>
      <c r="P154" s="91">
        <f t="shared" si="66"/>
        <v>8.6059115750455009E-2</v>
      </c>
    </row>
    <row r="155" spans="3:31" ht="14" customHeight="1" x14ac:dyDescent="0.25">
      <c r="C155" s="84">
        <v>2024</v>
      </c>
      <c r="D155" s="90">
        <f t="shared" ref="D155:P155" si="67">D145/D161</f>
        <v>4.9198759100278301E-2</v>
      </c>
      <c r="E155" s="90">
        <f t="shared" si="67"/>
        <v>6.534935039673756E-2</v>
      </c>
      <c r="F155" s="90">
        <f t="shared" si="67"/>
        <v>6.7391688663200056E-2</v>
      </c>
      <c r="G155" s="90">
        <f t="shared" si="67"/>
        <v>5.6829098863418026E-2</v>
      </c>
      <c r="H155" s="90">
        <f t="shared" si="67"/>
        <v>6.8475589458102254E-2</v>
      </c>
      <c r="I155" s="90">
        <f t="shared" si="67"/>
        <v>0.11670796679469707</v>
      </c>
      <c r="J155" s="90">
        <f t="shared" si="67"/>
        <v>7.252629388317032E-2</v>
      </c>
      <c r="K155" s="90">
        <f t="shared" si="67"/>
        <v>7.2122614227877385E-2</v>
      </c>
      <c r="L155" s="90">
        <f t="shared" si="67"/>
        <v>8.6426647395046324E-2</v>
      </c>
      <c r="M155" s="90">
        <f t="shared" si="67"/>
        <v>7.3613364112802601E-2</v>
      </c>
      <c r="N155" s="90">
        <f t="shared" si="67"/>
        <v>8.3882716883901809E-2</v>
      </c>
      <c r="O155" s="90">
        <f t="shared" si="67"/>
        <v>8.8735457012229124E-2</v>
      </c>
      <c r="P155" s="91">
        <f t="shared" si="67"/>
        <v>7.5295931316804024E-2</v>
      </c>
    </row>
    <row r="156" spans="3:31" ht="14" customHeight="1" x14ac:dyDescent="0.25">
      <c r="C156" s="84">
        <v>2025</v>
      </c>
      <c r="D156" s="90">
        <f t="shared" ref="D156:P156" si="68">D146/D162</f>
        <v>8.682044915588133E-2</v>
      </c>
      <c r="E156" s="90">
        <f t="shared" si="68"/>
        <v>9.5019404915912029E-2</v>
      </c>
      <c r="F156" s="90">
        <f t="shared" si="68"/>
        <v>9.9370358411365836E-2</v>
      </c>
      <c r="G156" s="90">
        <f t="shared" si="68"/>
        <v>0.10540187276350468</v>
      </c>
      <c r="H156" s="90">
        <f t="shared" si="68"/>
        <v>0.11479489958922866</v>
      </c>
      <c r="I156" s="90">
        <f t="shared" si="68"/>
        <v>0.13145501115425928</v>
      </c>
      <c r="J156" s="90">
        <f t="shared" si="68"/>
        <v>0.12356745907929467</v>
      </c>
      <c r="K156" s="90">
        <f t="shared" si="68"/>
        <v>0.11834170107839934</v>
      </c>
      <c r="L156" s="90">
        <f t="shared" si="68"/>
        <v>0.14061625533055344</v>
      </c>
      <c r="M156" s="90">
        <f t="shared" si="68"/>
        <v>0.12684511618052122</v>
      </c>
      <c r="N156" s="90">
        <f t="shared" si="68"/>
        <v>0.19425515465971674</v>
      </c>
      <c r="O156" s="90">
        <f t="shared" si="68"/>
        <v>0.20309050772626933</v>
      </c>
      <c r="P156" s="91">
        <f t="shared" si="68"/>
        <v>0.12636729376753911</v>
      </c>
    </row>
    <row r="157" spans="3:31" ht="14" customHeight="1" x14ac:dyDescent="0.25">
      <c r="C157" s="84">
        <v>2026</v>
      </c>
      <c r="D157" s="90">
        <f>D149/D165</f>
        <v>0.15312700583261241</v>
      </c>
      <c r="E157" s="90">
        <f>E149/E165</f>
        <v>0.16443198286182345</v>
      </c>
      <c r="F157" s="90">
        <f>F149/F165</f>
        <v>0.17748864415495372</v>
      </c>
      <c r="G157" s="90">
        <f>G149/G165</f>
        <v>0.17539079489344284</v>
      </c>
      <c r="H157" s="90">
        <f>H149/H165</f>
        <v>0.18949089734206345</v>
      </c>
      <c r="I157" s="90"/>
      <c r="J157" s="90"/>
      <c r="K157" s="90"/>
      <c r="L157" s="90"/>
      <c r="M157" s="90"/>
      <c r="N157" s="90"/>
      <c r="O157" s="90"/>
      <c r="P157" s="91"/>
      <c r="Q157" s="154"/>
      <c r="S157" s="154"/>
      <c r="T157" s="154"/>
      <c r="U157" s="154"/>
      <c r="V157" s="154"/>
      <c r="W157" s="154"/>
      <c r="X157" s="154"/>
      <c r="Y157" s="154"/>
      <c r="Z157" s="154"/>
      <c r="AA157" s="154"/>
      <c r="AB157" s="154"/>
      <c r="AC157" s="154"/>
      <c r="AD157" s="154"/>
      <c r="AE157" s="154"/>
    </row>
    <row r="158" spans="3:31" ht="14" customHeight="1" x14ac:dyDescent="0.25"/>
    <row r="159" spans="3:31" ht="14" customHeight="1" x14ac:dyDescent="0.25">
      <c r="C159" s="83" t="s">
        <v>152</v>
      </c>
      <c r="D159" s="83" t="s">
        <v>138</v>
      </c>
      <c r="E159" s="83" t="s">
        <v>139</v>
      </c>
      <c r="F159" s="83" t="s">
        <v>140</v>
      </c>
      <c r="G159" s="83" t="s">
        <v>141</v>
      </c>
      <c r="H159" s="83" t="s">
        <v>142</v>
      </c>
      <c r="I159" s="83" t="s">
        <v>143</v>
      </c>
      <c r="J159" s="83" t="s">
        <v>144</v>
      </c>
      <c r="K159" s="83" t="s">
        <v>145</v>
      </c>
      <c r="L159" s="83" t="s">
        <v>146</v>
      </c>
      <c r="M159" s="83" t="s">
        <v>147</v>
      </c>
      <c r="N159" s="83" t="s">
        <v>148</v>
      </c>
      <c r="O159" s="83" t="s">
        <v>149</v>
      </c>
      <c r="P159" s="83" t="s">
        <v>150</v>
      </c>
    </row>
    <row r="160" spans="3:31" ht="14" customHeight="1" x14ac:dyDescent="0.25">
      <c r="C160" s="84">
        <v>2023</v>
      </c>
      <c r="D160" s="85">
        <v>129937</v>
      </c>
      <c r="E160" s="85">
        <v>132475</v>
      </c>
      <c r="F160" s="85">
        <v>170263</v>
      </c>
      <c r="G160" s="85">
        <v>125664</v>
      </c>
      <c r="H160" s="85">
        <v>151614</v>
      </c>
      <c r="I160" s="85">
        <v>140993</v>
      </c>
      <c r="J160" s="85">
        <v>121103</v>
      </c>
      <c r="K160" s="85">
        <v>81029</v>
      </c>
      <c r="L160" s="85">
        <v>138622</v>
      </c>
      <c r="M160" s="85">
        <v>141682</v>
      </c>
      <c r="N160" s="85">
        <v>141636</v>
      </c>
      <c r="O160" s="85">
        <v>113425</v>
      </c>
      <c r="P160" s="86">
        <f>SUM(D160:O160)</f>
        <v>1588443</v>
      </c>
    </row>
    <row r="161" spans="3:31" ht="14" customHeight="1" x14ac:dyDescent="0.25">
      <c r="C161" s="84">
        <v>2024</v>
      </c>
      <c r="D161" s="85">
        <v>144089</v>
      </c>
      <c r="E161" s="85">
        <v>149091</v>
      </c>
      <c r="F161" s="85">
        <v>164041</v>
      </c>
      <c r="G161" s="85">
        <v>135318</v>
      </c>
      <c r="H161" s="85">
        <v>141189</v>
      </c>
      <c r="I161" s="85">
        <v>161420</v>
      </c>
      <c r="J161" s="85">
        <v>124934</v>
      </c>
      <c r="K161" s="85">
        <v>69160</v>
      </c>
      <c r="L161" s="85">
        <v>121768</v>
      </c>
      <c r="M161" s="85">
        <v>128224</v>
      </c>
      <c r="N161" s="85">
        <v>125747</v>
      </c>
      <c r="O161" s="85">
        <v>107612</v>
      </c>
      <c r="P161" s="86">
        <f>1577562</f>
        <v>1577562</v>
      </c>
    </row>
    <row r="162" spans="3:31" ht="14" customHeight="1" x14ac:dyDescent="0.25">
      <c r="C162" s="84">
        <v>2025</v>
      </c>
      <c r="D162" s="85">
        <v>134519</v>
      </c>
      <c r="E162" s="85">
        <v>139140</v>
      </c>
      <c r="F162" s="85">
        <v>173432</v>
      </c>
      <c r="G162" s="85">
        <v>140007</v>
      </c>
      <c r="H162" s="85">
        <v>140224</v>
      </c>
      <c r="I162" s="85">
        <v>133133</v>
      </c>
      <c r="J162" s="85">
        <v>118583</v>
      </c>
      <c r="K162" s="85">
        <v>67322</v>
      </c>
      <c r="L162" s="85">
        <v>126863</v>
      </c>
      <c r="M162" s="85">
        <v>127431</v>
      </c>
      <c r="N162" s="85">
        <v>125469</v>
      </c>
      <c r="O162" s="85">
        <v>109626</v>
      </c>
      <c r="P162" s="86">
        <f>1538349</f>
        <v>1538349</v>
      </c>
    </row>
    <row r="163" spans="3:31" ht="14" customHeight="1" x14ac:dyDescent="0.25">
      <c r="C163" s="87" t="s">
        <v>118</v>
      </c>
      <c r="D163" s="88">
        <f t="shared" ref="D163:O163" si="69">D162/D161-1</f>
        <v>-6.6417283762119195E-2</v>
      </c>
      <c r="E163" s="88">
        <f t="shared" si="69"/>
        <v>-6.6744471497273472E-2</v>
      </c>
      <c r="F163" s="88">
        <f t="shared" si="69"/>
        <v>5.7247883151163359E-2</v>
      </c>
      <c r="G163" s="88">
        <f t="shared" si="69"/>
        <v>3.4651709306965817E-2</v>
      </c>
      <c r="H163" s="88">
        <f t="shared" si="69"/>
        <v>-6.8348100772722686E-3</v>
      </c>
      <c r="I163" s="88">
        <f t="shared" si="69"/>
        <v>-0.17523850823937559</v>
      </c>
      <c r="J163" s="88">
        <f t="shared" si="69"/>
        <v>-5.083484079594025E-2</v>
      </c>
      <c r="K163" s="88">
        <f t="shared" si="69"/>
        <v>-2.6576055523423903E-2</v>
      </c>
      <c r="L163" s="88">
        <f t="shared" si="69"/>
        <v>4.1841863215294595E-2</v>
      </c>
      <c r="M163" s="88">
        <f t="shared" si="69"/>
        <v>-6.1844896431245688E-3</v>
      </c>
      <c r="N163" s="88">
        <f t="shared" si="69"/>
        <v>-2.2107883289461672E-3</v>
      </c>
      <c r="O163" s="88">
        <f t="shared" si="69"/>
        <v>1.8715384901312193E-2</v>
      </c>
      <c r="P163" s="89">
        <f>P162/P161-1</f>
        <v>-2.4856709276719346E-2</v>
      </c>
    </row>
    <row r="164" spans="3:31" ht="14" customHeight="1" x14ac:dyDescent="0.25">
      <c r="C164" s="87" t="s">
        <v>48</v>
      </c>
      <c r="D164" s="88">
        <f>D162/O161-1</f>
        <v>0.25003717057577224</v>
      </c>
      <c r="E164" s="88">
        <f t="shared" ref="E164:N164" si="70">E162/D162-1</f>
        <v>3.4352024621057353E-2</v>
      </c>
      <c r="F164" s="88">
        <f t="shared" si="70"/>
        <v>0.24645680609458109</v>
      </c>
      <c r="G164" s="88">
        <f t="shared" si="70"/>
        <v>-0.19272683241846944</v>
      </c>
      <c r="H164" s="88">
        <f t="shared" si="70"/>
        <v>1.5499225038748676E-3</v>
      </c>
      <c r="I164" s="88">
        <f t="shared" si="70"/>
        <v>-5.0569089456868999E-2</v>
      </c>
      <c r="J164" s="88">
        <f t="shared" si="70"/>
        <v>-0.10928920703356793</v>
      </c>
      <c r="K164" s="88">
        <f t="shared" si="70"/>
        <v>-0.43227950043429497</v>
      </c>
      <c r="L164" s="88">
        <f t="shared" si="70"/>
        <v>0.88442114019191354</v>
      </c>
      <c r="M164" s="88">
        <f t="shared" si="70"/>
        <v>4.4772707566429482E-3</v>
      </c>
      <c r="N164" s="88">
        <f t="shared" si="70"/>
        <v>-1.539656755420582E-2</v>
      </c>
      <c r="O164" s="88">
        <f t="shared" ref="O164" si="71">O162/N162-1</f>
        <v>-0.12627023408172533</v>
      </c>
      <c r="P164" s="88"/>
    </row>
    <row r="165" spans="3:31" ht="14" customHeight="1" x14ac:dyDescent="0.25">
      <c r="C165" s="84">
        <v>2026</v>
      </c>
      <c r="D165" s="85">
        <v>143332</v>
      </c>
      <c r="E165" s="85">
        <v>158710</v>
      </c>
      <c r="F165" s="85">
        <v>186688</v>
      </c>
      <c r="G165" s="85">
        <v>156348</v>
      </c>
      <c r="H165" s="85">
        <v>151659</v>
      </c>
      <c r="I165" s="85"/>
      <c r="J165" s="85"/>
      <c r="K165" s="85"/>
      <c r="L165" s="85"/>
      <c r="M165" s="85"/>
      <c r="N165" s="85"/>
      <c r="O165" s="85"/>
      <c r="P165" s="86"/>
      <c r="Q165" s="154"/>
      <c r="S165" s="154"/>
      <c r="T165" s="154"/>
      <c r="U165" s="154"/>
      <c r="V165" s="154"/>
      <c r="W165" s="154"/>
      <c r="X165" s="154"/>
      <c r="Y165" s="154"/>
      <c r="Z165" s="154"/>
      <c r="AA165" s="154"/>
      <c r="AB165" s="154"/>
      <c r="AC165" s="154"/>
      <c r="AD165" s="154"/>
      <c r="AE165" s="154"/>
    </row>
    <row r="166" spans="3:31" ht="14" customHeight="1" x14ac:dyDescent="0.25">
      <c r="C166" s="87" t="s">
        <v>118</v>
      </c>
      <c r="D166" s="88">
        <f>D165/D162-1</f>
        <v>6.5514908674610961E-2</v>
      </c>
      <c r="E166" s="88">
        <f t="shared" ref="E166:F166" si="72">E165/E162-1</f>
        <v>0.14064970533275845</v>
      </c>
      <c r="F166" s="88">
        <f t="shared" si="72"/>
        <v>7.6433414825407109E-2</v>
      </c>
      <c r="G166" s="88">
        <f t="shared" ref="G166:H166" si="73">G165/G162-1</f>
        <v>0.11671559279178889</v>
      </c>
      <c r="H166" s="88">
        <f t="shared" si="73"/>
        <v>8.1548094477407629E-2</v>
      </c>
      <c r="I166" s="88"/>
      <c r="J166" s="88"/>
      <c r="K166" s="88"/>
      <c r="L166" s="88"/>
      <c r="M166" s="88"/>
      <c r="N166" s="88"/>
      <c r="O166" s="88"/>
      <c r="P166" s="89"/>
      <c r="Q166" s="152"/>
    </row>
    <row r="167" spans="3:31" ht="14" customHeight="1" x14ac:dyDescent="0.25">
      <c r="C167" s="87" t="s">
        <v>48</v>
      </c>
      <c r="D167" s="88">
        <f>D165/O162-1</f>
        <v>0.30746355791509306</v>
      </c>
      <c r="E167" s="88">
        <f>E165/D165-1</f>
        <v>0.10728937013367568</v>
      </c>
      <c r="F167" s="88">
        <f>F165/E165-1</f>
        <v>0.17628378804108125</v>
      </c>
      <c r="G167" s="88">
        <f>G165/F165-1</f>
        <v>-0.16251714089818303</v>
      </c>
      <c r="H167" s="88">
        <f>H165/G165-1</f>
        <v>-2.9990789776652038E-2</v>
      </c>
      <c r="I167" s="88"/>
      <c r="J167" s="88"/>
      <c r="K167" s="88"/>
      <c r="L167" s="88"/>
      <c r="M167" s="88"/>
      <c r="N167" s="88"/>
      <c r="O167" s="88"/>
      <c r="P167" s="88"/>
      <c r="Q167" s="152"/>
    </row>
    <row r="168" spans="3:31" ht="14" customHeight="1" x14ac:dyDescent="0.25">
      <c r="C168" s="153" t="s">
        <v>162</v>
      </c>
    </row>
    <row r="169" spans="3:31" s="150" customFormat="1" ht="14" customHeight="1" x14ac:dyDescent="0.25">
      <c r="D169" s="80"/>
      <c r="E169" s="80"/>
      <c r="F169" s="80"/>
      <c r="G169" s="80"/>
      <c r="H169" s="80"/>
      <c r="I169" s="80"/>
      <c r="J169" s="80"/>
      <c r="K169" s="80"/>
      <c r="L169" s="80"/>
      <c r="M169" s="80"/>
      <c r="N169" s="80"/>
      <c r="O169" s="80"/>
      <c r="P169" s="80"/>
    </row>
    <row r="170" spans="3:31" ht="14" customHeight="1" x14ac:dyDescent="0.25">
      <c r="C170" s="81" t="s">
        <v>163</v>
      </c>
    </row>
    <row r="171" spans="3:31" ht="14" customHeight="1" x14ac:dyDescent="0.25">
      <c r="C171" s="83" t="s">
        <v>137</v>
      </c>
      <c r="D171" s="83" t="s">
        <v>138</v>
      </c>
      <c r="E171" s="83" t="s">
        <v>139</v>
      </c>
      <c r="F171" s="83" t="s">
        <v>140</v>
      </c>
      <c r="G171" s="83" t="s">
        <v>141</v>
      </c>
      <c r="H171" s="83" t="s">
        <v>142</v>
      </c>
      <c r="I171" s="83" t="s">
        <v>143</v>
      </c>
      <c r="J171" s="83" t="s">
        <v>144</v>
      </c>
      <c r="K171" s="83" t="s">
        <v>145</v>
      </c>
      <c r="L171" s="83" t="s">
        <v>146</v>
      </c>
      <c r="M171" s="83" t="s">
        <v>147</v>
      </c>
      <c r="N171" s="83" t="s">
        <v>148</v>
      </c>
      <c r="O171" s="83" t="s">
        <v>149</v>
      </c>
      <c r="P171" s="83" t="s">
        <v>150</v>
      </c>
    </row>
    <row r="172" spans="3:31" ht="14" customHeight="1" x14ac:dyDescent="0.25">
      <c r="C172" s="84">
        <v>2023</v>
      </c>
      <c r="D172" s="85">
        <v>7060</v>
      </c>
      <c r="E172" s="85">
        <v>8110</v>
      </c>
      <c r="F172" s="85">
        <v>10279</v>
      </c>
      <c r="G172" s="85">
        <v>7762</v>
      </c>
      <c r="H172" s="85">
        <v>10418</v>
      </c>
      <c r="I172" s="85">
        <v>11913</v>
      </c>
      <c r="J172" s="85">
        <v>8582</v>
      </c>
      <c r="K172" s="85">
        <v>6945</v>
      </c>
      <c r="L172" s="85">
        <v>8657</v>
      </c>
      <c r="M172" s="85">
        <v>10045</v>
      </c>
      <c r="N172" s="85">
        <v>11562</v>
      </c>
      <c r="O172" s="85">
        <v>12442</v>
      </c>
      <c r="P172" s="86">
        <f>SUM(D172:O172)</f>
        <v>113775</v>
      </c>
    </row>
    <row r="173" spans="3:31" ht="14" customHeight="1" x14ac:dyDescent="0.25">
      <c r="C173" s="84">
        <v>2024</v>
      </c>
      <c r="D173" s="85">
        <f>3376+4578</f>
        <v>7954</v>
      </c>
      <c r="E173" s="85">
        <f>3806+5562</f>
        <v>9368</v>
      </c>
      <c r="F173" s="85">
        <f>4198+5560</f>
        <v>9758</v>
      </c>
      <c r="G173" s="85">
        <f>3840+5059</f>
        <v>8899</v>
      </c>
      <c r="H173" s="85">
        <f>4393+4779</f>
        <v>9172</v>
      </c>
      <c r="I173" s="85">
        <f>5533+5206</f>
        <v>10739</v>
      </c>
      <c r="J173" s="85">
        <f>3827+4416</f>
        <v>8243</v>
      </c>
      <c r="K173" s="85">
        <v>5744</v>
      </c>
      <c r="L173" s="85">
        <v>10392</v>
      </c>
      <c r="M173" s="85">
        <v>9908</v>
      </c>
      <c r="N173" s="85">
        <v>10664</v>
      </c>
      <c r="O173" s="85">
        <v>15124</v>
      </c>
      <c r="P173" s="86">
        <f>SUM(D173:O173)</f>
        <v>115965</v>
      </c>
      <c r="Q173" s="152"/>
    </row>
    <row r="174" spans="3:31" ht="14" customHeight="1" x14ac:dyDescent="0.25">
      <c r="C174" s="84">
        <v>2025</v>
      </c>
      <c r="D174" s="85">
        <f>5012+5242</f>
        <v>10254</v>
      </c>
      <c r="E174" s="85">
        <f>6112+6901</f>
        <v>13013</v>
      </c>
      <c r="F174" s="85">
        <f>8101+8373</f>
        <v>16474</v>
      </c>
      <c r="G174" s="85">
        <f>6835+9122</f>
        <v>15957</v>
      </c>
      <c r="H174" s="85">
        <v>21861</v>
      </c>
      <c r="I174" s="85">
        <v>24776</v>
      </c>
      <c r="J174" s="85">
        <f>8691+12311</f>
        <v>21002</v>
      </c>
      <c r="K174" s="85">
        <f>7032+7907</f>
        <v>14939</v>
      </c>
      <c r="L174" s="85">
        <f>10110+10369</f>
        <v>20479</v>
      </c>
      <c r="M174" s="85">
        <v>21687</v>
      </c>
      <c r="N174" s="85">
        <v>21315</v>
      </c>
      <c r="O174" s="85">
        <f>P174-SUM(D174:N174)</f>
        <v>23860</v>
      </c>
      <c r="P174" s="86">
        <v>225617</v>
      </c>
      <c r="Q174" s="152"/>
    </row>
    <row r="175" spans="3:31" ht="14" customHeight="1" x14ac:dyDescent="0.25">
      <c r="C175" s="87" t="s">
        <v>118</v>
      </c>
      <c r="D175" s="88">
        <f t="shared" ref="D175:O175" si="74">D174/D173-1</f>
        <v>0.28916268544128743</v>
      </c>
      <c r="E175" s="88">
        <f t="shared" si="74"/>
        <v>0.38909052092228857</v>
      </c>
      <c r="F175" s="88">
        <f t="shared" si="74"/>
        <v>0.68825579012092652</v>
      </c>
      <c r="G175" s="88">
        <f t="shared" si="74"/>
        <v>0.79312282278907742</v>
      </c>
      <c r="H175" s="88">
        <f t="shared" si="74"/>
        <v>1.3834496293065852</v>
      </c>
      <c r="I175" s="88">
        <f t="shared" si="74"/>
        <v>1.3071049445944687</v>
      </c>
      <c r="J175" s="88">
        <f t="shared" si="74"/>
        <v>1.5478587892757489</v>
      </c>
      <c r="K175" s="88">
        <f t="shared" si="74"/>
        <v>1.6008008356545962</v>
      </c>
      <c r="L175" s="88">
        <f t="shared" si="74"/>
        <v>0.97065050038491152</v>
      </c>
      <c r="M175" s="88">
        <f t="shared" si="74"/>
        <v>1.188837303189342</v>
      </c>
      <c r="N175" s="88">
        <f t="shared" si="74"/>
        <v>0.998780945236309</v>
      </c>
      <c r="O175" s="88">
        <f t="shared" si="74"/>
        <v>0.5776249669399629</v>
      </c>
      <c r="P175" s="89">
        <f>P174/P173-1</f>
        <v>0.94556116069503737</v>
      </c>
      <c r="Q175" s="152"/>
    </row>
    <row r="176" spans="3:31" ht="14" customHeight="1" x14ac:dyDescent="0.25">
      <c r="C176" s="87" t="s">
        <v>48</v>
      </c>
      <c r="D176" s="88">
        <f>D174/O173-1</f>
        <v>-0.3220047606453319</v>
      </c>
      <c r="E176" s="88">
        <f t="shared" ref="E176:N176" si="75">E174/D174-1</f>
        <v>0.26906573044665505</v>
      </c>
      <c r="F176" s="88">
        <f t="shared" si="75"/>
        <v>0.26596480442634296</v>
      </c>
      <c r="G176" s="88">
        <f t="shared" si="75"/>
        <v>-3.1382784994536839E-2</v>
      </c>
      <c r="H176" s="88">
        <f t="shared" si="75"/>
        <v>0.36999435984207563</v>
      </c>
      <c r="I176" s="88">
        <f t="shared" si="75"/>
        <v>0.13334248204565213</v>
      </c>
      <c r="J176" s="88">
        <f t="shared" si="75"/>
        <v>-0.15232483048111078</v>
      </c>
      <c r="K176" s="88">
        <f t="shared" si="75"/>
        <v>-0.2886867917341206</v>
      </c>
      <c r="L176" s="88">
        <f t="shared" si="75"/>
        <v>0.37084142178191315</v>
      </c>
      <c r="M176" s="88">
        <f t="shared" si="75"/>
        <v>5.8987255237072045E-2</v>
      </c>
      <c r="N176" s="88">
        <f t="shared" si="75"/>
        <v>-1.7153133213445804E-2</v>
      </c>
      <c r="O176" s="88">
        <f t="shared" ref="O176" si="76">O174/N174-1</f>
        <v>0.11939948393150357</v>
      </c>
      <c r="P176" s="88"/>
      <c r="Q176" s="152"/>
    </row>
    <row r="177" spans="3:33" ht="14" customHeight="1" x14ac:dyDescent="0.25">
      <c r="C177" s="84">
        <v>2026</v>
      </c>
      <c r="D177" s="85">
        <v>15212</v>
      </c>
      <c r="E177" s="85">
        <v>20981</v>
      </c>
      <c r="F177" s="85">
        <v>26725</v>
      </c>
      <c r="G177" s="85">
        <v>22758</v>
      </c>
      <c r="H177" s="85">
        <v>25790</v>
      </c>
      <c r="I177" s="85"/>
      <c r="J177" s="85"/>
      <c r="K177" s="85"/>
      <c r="L177" s="85"/>
      <c r="M177" s="85"/>
      <c r="N177" s="85"/>
      <c r="O177" s="85"/>
      <c r="P177" s="86"/>
      <c r="Q177" s="152"/>
    </row>
    <row r="178" spans="3:33" ht="14" customHeight="1" x14ac:dyDescent="0.25">
      <c r="C178" s="87" t="s">
        <v>118</v>
      </c>
      <c r="D178" s="88">
        <f>D177/D174-1</f>
        <v>0.48351862687731617</v>
      </c>
      <c r="E178" s="88">
        <f t="shared" ref="E178:F178" si="77">E177/E174-1</f>
        <v>0.61231076615692004</v>
      </c>
      <c r="F178" s="88">
        <f t="shared" si="77"/>
        <v>0.62225324754158073</v>
      </c>
      <c r="G178" s="88">
        <f t="shared" ref="G178:H178" si="78">G177/G174-1</f>
        <v>0.42620793382214694</v>
      </c>
      <c r="H178" s="88">
        <f t="shared" si="78"/>
        <v>0.1797264535016696</v>
      </c>
      <c r="I178" s="88"/>
      <c r="J178" s="88"/>
      <c r="K178" s="88"/>
      <c r="L178" s="88"/>
      <c r="M178" s="88"/>
      <c r="N178" s="88"/>
      <c r="O178" s="88"/>
      <c r="P178" s="89"/>
      <c r="Q178" s="152"/>
    </row>
    <row r="179" spans="3:33" ht="14" customHeight="1" x14ac:dyDescent="0.25">
      <c r="C179" s="87" t="s">
        <v>48</v>
      </c>
      <c r="D179" s="88">
        <f>D177/O174-1</f>
        <v>-0.36244761106454315</v>
      </c>
      <c r="E179" s="88">
        <f>E177/D177-1</f>
        <v>0.37924007362608458</v>
      </c>
      <c r="F179" s="88">
        <f>F177/E177-1</f>
        <v>0.27377150755445401</v>
      </c>
      <c r="G179" s="88">
        <f>G177/F177-1</f>
        <v>-0.14843779232927967</v>
      </c>
      <c r="H179" s="88">
        <f>H177/G177-1</f>
        <v>0.13322787591176732</v>
      </c>
      <c r="I179" s="88"/>
      <c r="J179" s="88"/>
      <c r="K179" s="88"/>
      <c r="L179" s="88"/>
      <c r="M179" s="88"/>
      <c r="N179" s="88"/>
      <c r="O179" s="88"/>
      <c r="P179" s="88"/>
      <c r="Q179" s="152"/>
    </row>
    <row r="180" spans="3:33" ht="14" customHeight="1" x14ac:dyDescent="0.25">
      <c r="P180" s="97"/>
      <c r="Q180" s="152"/>
      <c r="AG180" s="159"/>
    </row>
    <row r="181" spans="3:33" ht="14" customHeight="1" x14ac:dyDescent="0.25">
      <c r="C181" s="83" t="s">
        <v>151</v>
      </c>
      <c r="D181" s="83" t="s">
        <v>138</v>
      </c>
      <c r="E181" s="83" t="s">
        <v>139</v>
      </c>
      <c r="F181" s="83" t="s">
        <v>140</v>
      </c>
      <c r="G181" s="83" t="s">
        <v>141</v>
      </c>
      <c r="H181" s="83" t="s">
        <v>142</v>
      </c>
      <c r="I181" s="83" t="s">
        <v>143</v>
      </c>
      <c r="J181" s="83" t="s">
        <v>144</v>
      </c>
      <c r="K181" s="83" t="s">
        <v>145</v>
      </c>
      <c r="L181" s="83" t="s">
        <v>146</v>
      </c>
      <c r="M181" s="83" t="s">
        <v>147</v>
      </c>
      <c r="N181" s="83" t="s">
        <v>148</v>
      </c>
      <c r="O181" s="83" t="s">
        <v>149</v>
      </c>
      <c r="P181" s="83" t="s">
        <v>150</v>
      </c>
      <c r="Q181" s="152"/>
    </row>
    <row r="182" spans="3:33" ht="14" customHeight="1" x14ac:dyDescent="0.25">
      <c r="C182" s="84">
        <v>2023</v>
      </c>
      <c r="D182" s="90">
        <f>D172/D188</f>
        <v>0.11024704081951342</v>
      </c>
      <c r="E182" s="90">
        <f t="shared" ref="E182:P182" si="79">E172/E188</f>
        <v>0.10959311360657288</v>
      </c>
      <c r="F182" s="90">
        <f t="shared" si="79"/>
        <v>0.10327954504350621</v>
      </c>
      <c r="G182" s="90">
        <f t="shared" si="79"/>
        <v>0.10384363252036871</v>
      </c>
      <c r="H182" s="90">
        <f t="shared" si="79"/>
        <v>0.11320959749630531</v>
      </c>
      <c r="I182" s="90">
        <f t="shared" si="79"/>
        <v>0.11785131325122422</v>
      </c>
      <c r="J182" s="90">
        <f t="shared" si="79"/>
        <v>0.10568705204305312</v>
      </c>
      <c r="K182" s="90">
        <f t="shared" si="79"/>
        <v>0.12411981270329199</v>
      </c>
      <c r="L182" s="90">
        <f t="shared" si="79"/>
        <v>0.12582300190398674</v>
      </c>
      <c r="M182" s="90">
        <f t="shared" si="79"/>
        <v>0.12895895651727371</v>
      </c>
      <c r="N182" s="90">
        <f t="shared" si="79"/>
        <v>0.14763643792936129</v>
      </c>
      <c r="O182" s="90">
        <f t="shared" si="79"/>
        <v>0.15215477180452966</v>
      </c>
      <c r="P182" s="91">
        <f t="shared" si="79"/>
        <v>0.11984402107105953</v>
      </c>
    </row>
    <row r="183" spans="3:33" ht="14" customHeight="1" x14ac:dyDescent="0.25">
      <c r="C183" s="84">
        <v>2024</v>
      </c>
      <c r="D183" s="90">
        <f t="shared" ref="D183:P183" si="80">D173/D189</f>
        <v>0.11579728923117238</v>
      </c>
      <c r="E183" s="90">
        <f t="shared" si="80"/>
        <v>0.11515673017824217</v>
      </c>
      <c r="F183" s="90">
        <f t="shared" si="80"/>
        <v>0.10303247877687206</v>
      </c>
      <c r="G183" s="90">
        <f t="shared" si="80"/>
        <v>9.6723004184555192E-2</v>
      </c>
      <c r="H183" s="90">
        <f t="shared" si="80"/>
        <v>9.6378958871865997E-2</v>
      </c>
      <c r="I183" s="90">
        <f t="shared" si="80"/>
        <v>0.10388190796792324</v>
      </c>
      <c r="J183" s="90">
        <f t="shared" si="80"/>
        <v>9.8147310265996712E-2</v>
      </c>
      <c r="K183" s="90">
        <f t="shared" si="80"/>
        <v>0.10977963801769776</v>
      </c>
      <c r="L183" s="90">
        <f t="shared" si="80"/>
        <v>0.14207590506398338</v>
      </c>
      <c r="M183" s="90">
        <f t="shared" si="80"/>
        <v>0.11868853244528564</v>
      </c>
      <c r="N183" s="90">
        <f t="shared" si="80"/>
        <v>0.12792399414601377</v>
      </c>
      <c r="O183" s="90">
        <f t="shared" si="80"/>
        <v>0.14356501433371938</v>
      </c>
      <c r="P183" s="91">
        <f t="shared" si="80"/>
        <v>0.11403383697089785</v>
      </c>
    </row>
    <row r="184" spans="3:33" ht="14" customHeight="1" x14ac:dyDescent="0.25">
      <c r="C184" s="84">
        <v>2025</v>
      </c>
      <c r="D184" s="90">
        <f t="shared" ref="D184:O184" si="81">D174/D190</f>
        <v>0.14178258344625425</v>
      </c>
      <c r="E184" s="90">
        <f t="shared" si="81"/>
        <v>0.14406545108328628</v>
      </c>
      <c r="F184" s="90">
        <f t="shared" si="81"/>
        <v>0.14113514671235811</v>
      </c>
      <c r="G184" s="90">
        <f t="shared" si="81"/>
        <v>0.16196382533850306</v>
      </c>
      <c r="H184" s="90">
        <f t="shared" si="81"/>
        <v>0.1937688353128878</v>
      </c>
      <c r="I184" s="90">
        <f t="shared" si="81"/>
        <v>0.20798321091290661</v>
      </c>
      <c r="J184" s="90">
        <f t="shared" si="81"/>
        <v>0.21357169732654036</v>
      </c>
      <c r="K184" s="90">
        <f t="shared" si="81"/>
        <v>0.2436434803881595</v>
      </c>
      <c r="L184" s="90">
        <f t="shared" si="81"/>
        <v>0.24045698451278077</v>
      </c>
      <c r="M184" s="90">
        <f t="shared" si="81"/>
        <v>0.22407397840574469</v>
      </c>
      <c r="N184" s="90">
        <f t="shared" si="81"/>
        <v>0.22645658918023034</v>
      </c>
      <c r="O184" s="90">
        <f t="shared" si="81"/>
        <v>0.23162350017473693</v>
      </c>
      <c r="P184" s="91">
        <f>P174/P190</f>
        <v>0.19641927480085317</v>
      </c>
    </row>
    <row r="185" spans="3:33" ht="14" customHeight="1" x14ac:dyDescent="0.25">
      <c r="C185" s="84">
        <v>2026</v>
      </c>
      <c r="D185" s="90">
        <f>D177/D193</f>
        <v>0.20808995526859364</v>
      </c>
      <c r="E185" s="90">
        <f>E177/E193</f>
        <v>0.21611627284151541</v>
      </c>
      <c r="F185" s="90">
        <f>F177/F193</f>
        <v>0.20504066288169404</v>
      </c>
      <c r="G185" s="90">
        <f>G177/G193</f>
        <v>0.21296625554453408</v>
      </c>
      <c r="H185" s="90">
        <f>H177/H193</f>
        <v>0.23048599567447764</v>
      </c>
      <c r="I185" s="90"/>
      <c r="J185" s="90"/>
      <c r="K185" s="90"/>
      <c r="L185" s="90"/>
      <c r="M185" s="90"/>
      <c r="N185" s="90"/>
      <c r="O185" s="90"/>
      <c r="P185" s="91"/>
      <c r="Q185" s="154"/>
      <c r="S185" s="154"/>
      <c r="T185" s="154"/>
      <c r="U185" s="154"/>
      <c r="V185" s="154"/>
      <c r="W185" s="154"/>
      <c r="X185" s="154"/>
      <c r="Y185" s="154"/>
      <c r="Z185" s="154"/>
      <c r="AA185" s="154"/>
      <c r="AB185" s="154"/>
      <c r="AC185" s="154"/>
      <c r="AD185" s="154"/>
      <c r="AE185" s="154"/>
    </row>
    <row r="186" spans="3:33" ht="14" customHeight="1" x14ac:dyDescent="0.25"/>
    <row r="187" spans="3:33" ht="14" customHeight="1" x14ac:dyDescent="0.25">
      <c r="C187" s="83" t="s">
        <v>152</v>
      </c>
      <c r="D187" s="83" t="s">
        <v>138</v>
      </c>
      <c r="E187" s="83" t="s">
        <v>139</v>
      </c>
      <c r="F187" s="83" t="s">
        <v>140</v>
      </c>
      <c r="G187" s="83" t="s">
        <v>141</v>
      </c>
      <c r="H187" s="83" t="s">
        <v>142</v>
      </c>
      <c r="I187" s="83" t="s">
        <v>143</v>
      </c>
      <c r="J187" s="83" t="s">
        <v>144</v>
      </c>
      <c r="K187" s="83" t="s">
        <v>145</v>
      </c>
      <c r="L187" s="83" t="s">
        <v>146</v>
      </c>
      <c r="M187" s="83" t="s">
        <v>147</v>
      </c>
      <c r="N187" s="83" t="s">
        <v>148</v>
      </c>
      <c r="O187" s="83" t="s">
        <v>149</v>
      </c>
      <c r="P187" s="83" t="s">
        <v>150</v>
      </c>
    </row>
    <row r="188" spans="3:33" ht="14" customHeight="1" x14ac:dyDescent="0.25">
      <c r="C188" s="84">
        <v>2023</v>
      </c>
      <c r="D188" s="85">
        <v>64038</v>
      </c>
      <c r="E188" s="85">
        <v>74001</v>
      </c>
      <c r="F188" s="85">
        <v>99526</v>
      </c>
      <c r="G188" s="85">
        <v>74747</v>
      </c>
      <c r="H188" s="85">
        <v>92024</v>
      </c>
      <c r="I188" s="85">
        <v>101085</v>
      </c>
      <c r="J188" s="85">
        <v>81202</v>
      </c>
      <c r="K188" s="85">
        <v>55954</v>
      </c>
      <c r="L188" s="85">
        <v>68803</v>
      </c>
      <c r="M188" s="85">
        <v>77893</v>
      </c>
      <c r="N188" s="85">
        <v>78314</v>
      </c>
      <c r="O188" s="85">
        <v>81772</v>
      </c>
      <c r="P188" s="86">
        <f>SUM(D188:O188)</f>
        <v>949359</v>
      </c>
    </row>
    <row r="189" spans="3:33" ht="14" customHeight="1" x14ac:dyDescent="0.25">
      <c r="C189" s="84">
        <v>2024</v>
      </c>
      <c r="D189" s="85">
        <v>68689</v>
      </c>
      <c r="E189" s="85">
        <v>81350</v>
      </c>
      <c r="F189" s="85">
        <v>94708</v>
      </c>
      <c r="G189" s="85">
        <v>92005</v>
      </c>
      <c r="H189" s="85">
        <v>95166</v>
      </c>
      <c r="I189" s="85">
        <v>103377</v>
      </c>
      <c r="J189" s="85">
        <v>83986</v>
      </c>
      <c r="K189" s="85">
        <v>52323</v>
      </c>
      <c r="L189" s="85">
        <v>73144</v>
      </c>
      <c r="M189" s="85">
        <v>83479</v>
      </c>
      <c r="N189" s="85">
        <v>83362</v>
      </c>
      <c r="O189" s="85">
        <v>105346</v>
      </c>
      <c r="P189" s="86">
        <f>SUM(D189:O189)</f>
        <v>1016935</v>
      </c>
    </row>
    <row r="190" spans="3:33" ht="14" customHeight="1" x14ac:dyDescent="0.25">
      <c r="C190" s="84">
        <v>2025</v>
      </c>
      <c r="D190" s="85">
        <v>72322</v>
      </c>
      <c r="E190" s="85">
        <v>90327</v>
      </c>
      <c r="F190" s="85">
        <v>116725</v>
      </c>
      <c r="G190" s="85">
        <v>98522</v>
      </c>
      <c r="H190" s="85">
        <v>112820</v>
      </c>
      <c r="I190" s="85">
        <v>119125</v>
      </c>
      <c r="J190" s="85">
        <v>98337</v>
      </c>
      <c r="K190" s="85">
        <v>61315</v>
      </c>
      <c r="L190" s="85">
        <v>85167</v>
      </c>
      <c r="M190" s="85">
        <v>96785</v>
      </c>
      <c r="N190" s="85">
        <v>94124</v>
      </c>
      <c r="O190" s="85">
        <v>103012</v>
      </c>
      <c r="P190" s="86">
        <v>1148650</v>
      </c>
    </row>
    <row r="191" spans="3:33" ht="14" customHeight="1" x14ac:dyDescent="0.25">
      <c r="C191" s="87" t="s">
        <v>118</v>
      </c>
      <c r="D191" s="88">
        <f t="shared" ref="D191:O191" si="82">D190/D189-1</f>
        <v>5.2890564719241695E-2</v>
      </c>
      <c r="E191" s="88">
        <f t="shared" si="82"/>
        <v>0.11035033804548244</v>
      </c>
      <c r="F191" s="88">
        <f t="shared" si="82"/>
        <v>0.23247244161000125</v>
      </c>
      <c r="G191" s="88">
        <f t="shared" si="82"/>
        <v>7.0833106896364351E-2</v>
      </c>
      <c r="H191" s="88">
        <f t="shared" si="82"/>
        <v>0.18550742912384677</v>
      </c>
      <c r="I191" s="88">
        <f t="shared" si="82"/>
        <v>0.15233562591292071</v>
      </c>
      <c r="J191" s="88">
        <f t="shared" si="82"/>
        <v>0.17087371704807941</v>
      </c>
      <c r="K191" s="88">
        <f t="shared" si="82"/>
        <v>0.1718555893201843</v>
      </c>
      <c r="L191" s="88">
        <f t="shared" si="82"/>
        <v>0.16437438477523791</v>
      </c>
      <c r="M191" s="88">
        <f t="shared" si="82"/>
        <v>0.15939338037111139</v>
      </c>
      <c r="N191" s="88">
        <f t="shared" si="82"/>
        <v>0.12909958974112912</v>
      </c>
      <c r="O191" s="88">
        <f t="shared" si="82"/>
        <v>-2.2155563571469306E-2</v>
      </c>
      <c r="P191" s="89">
        <f>P190/P189-1</f>
        <v>0.12952155250827246</v>
      </c>
    </row>
    <row r="192" spans="3:33" ht="14" customHeight="1" x14ac:dyDescent="0.25">
      <c r="C192" s="87" t="s">
        <v>48</v>
      </c>
      <c r="D192" s="88">
        <f>D190/O189-1</f>
        <v>-0.31348129022459326</v>
      </c>
      <c r="E192" s="88">
        <f t="shared" ref="E192:N192" si="83">E190/D190-1</f>
        <v>0.24895605763114959</v>
      </c>
      <c r="F192" s="88">
        <f t="shared" si="83"/>
        <v>0.29224927208918716</v>
      </c>
      <c r="G192" s="88">
        <f t="shared" si="83"/>
        <v>-0.15594774041550652</v>
      </c>
      <c r="H192" s="88">
        <f t="shared" si="83"/>
        <v>0.14512494671240939</v>
      </c>
      <c r="I192" s="88">
        <f t="shared" si="83"/>
        <v>5.588548129764237E-2</v>
      </c>
      <c r="J192" s="88">
        <f t="shared" si="83"/>
        <v>-0.17450577124868838</v>
      </c>
      <c r="K192" s="88">
        <f t="shared" si="83"/>
        <v>-0.37648087698424804</v>
      </c>
      <c r="L192" s="88">
        <f t="shared" si="83"/>
        <v>0.38900758378863243</v>
      </c>
      <c r="M192" s="88">
        <f t="shared" si="83"/>
        <v>0.13641433888712773</v>
      </c>
      <c r="N192" s="88">
        <f t="shared" si="83"/>
        <v>-2.749392984450072E-2</v>
      </c>
      <c r="O192" s="88">
        <f t="shared" ref="O192" si="84">O190/N190-1</f>
        <v>9.4428626067740495E-2</v>
      </c>
      <c r="P192" s="88"/>
    </row>
    <row r="193" spans="3:31" ht="14" customHeight="1" x14ac:dyDescent="0.25">
      <c r="C193" s="84">
        <v>2026</v>
      </c>
      <c r="D193" s="85">
        <v>73103</v>
      </c>
      <c r="E193" s="85">
        <v>97082</v>
      </c>
      <c r="F193" s="85">
        <v>130340</v>
      </c>
      <c r="G193" s="85">
        <v>106862</v>
      </c>
      <c r="H193" s="85">
        <v>111894</v>
      </c>
      <c r="I193" s="85"/>
      <c r="J193" s="85"/>
      <c r="K193" s="85"/>
      <c r="L193" s="85"/>
      <c r="M193" s="85"/>
      <c r="N193" s="85"/>
      <c r="O193" s="85"/>
      <c r="P193" s="86"/>
      <c r="Q193" s="154"/>
      <c r="S193" s="154"/>
      <c r="T193" s="154"/>
      <c r="U193" s="154"/>
      <c r="V193" s="154"/>
      <c r="W193" s="154"/>
      <c r="X193" s="154"/>
      <c r="Y193" s="154"/>
      <c r="Z193" s="154"/>
      <c r="AA193" s="154"/>
      <c r="AB193" s="154"/>
      <c r="AC193" s="154"/>
      <c r="AD193" s="154"/>
      <c r="AE193" s="154"/>
    </row>
    <row r="194" spans="3:31" ht="14" customHeight="1" x14ac:dyDescent="0.25">
      <c r="C194" s="87" t="s">
        <v>118</v>
      </c>
      <c r="D194" s="88">
        <f>D193/D190-1</f>
        <v>1.0798927020823523E-2</v>
      </c>
      <c r="E194" s="88">
        <f t="shared" ref="E194:F194" si="85">E193/E190-1</f>
        <v>7.4783840933497103E-2</v>
      </c>
      <c r="F194" s="88">
        <f t="shared" si="85"/>
        <v>0.1166416791604199</v>
      </c>
      <c r="G194" s="88">
        <f t="shared" ref="G194:H194" si="86">G193/G190-1</f>
        <v>8.4651143906944615E-2</v>
      </c>
      <c r="H194" s="88">
        <f t="shared" si="86"/>
        <v>-8.2077645807481225E-3</v>
      </c>
      <c r="I194" s="88"/>
      <c r="J194" s="88"/>
      <c r="K194" s="88"/>
      <c r="L194" s="88"/>
      <c r="M194" s="88"/>
      <c r="N194" s="88"/>
      <c r="O194" s="88"/>
      <c r="P194" s="89"/>
      <c r="Q194" s="152"/>
    </row>
    <row r="195" spans="3:31" ht="14" customHeight="1" x14ac:dyDescent="0.25">
      <c r="C195" s="87" t="s">
        <v>48</v>
      </c>
      <c r="D195" s="88">
        <f>D193/O190-1</f>
        <v>-0.29034481419640434</v>
      </c>
      <c r="E195" s="88">
        <f>E193/D193-1</f>
        <v>0.3280166340642654</v>
      </c>
      <c r="F195" s="88">
        <f>F193/E193-1</f>
        <v>0.3425763787313818</v>
      </c>
      <c r="G195" s="88">
        <f>G193/F193-1</f>
        <v>-0.18012889366272822</v>
      </c>
      <c r="H195" s="88">
        <f>H193/G193-1</f>
        <v>4.708876869233225E-2</v>
      </c>
      <c r="I195" s="88"/>
      <c r="J195" s="88"/>
      <c r="K195" s="88"/>
      <c r="L195" s="88"/>
      <c r="M195" s="88"/>
      <c r="N195" s="88"/>
      <c r="O195" s="88"/>
      <c r="P195" s="88"/>
      <c r="Q195" s="152"/>
    </row>
    <row r="196" spans="3:31" ht="14" customHeight="1" x14ac:dyDescent="0.25">
      <c r="C196" s="153" t="s">
        <v>164</v>
      </c>
    </row>
    <row r="197" spans="3:31" ht="14" customHeight="1" x14ac:dyDescent="0.25"/>
    <row r="198" spans="3:31" ht="14" customHeight="1" x14ac:dyDescent="0.25"/>
    <row r="199" spans="3:31" ht="14" customHeight="1" x14ac:dyDescent="0.25"/>
    <row r="200" spans="3:31" ht="14" customHeight="1" x14ac:dyDescent="0.25"/>
    <row r="201" spans="3:31" ht="14" customHeight="1" x14ac:dyDescent="0.25"/>
    <row r="202" spans="3:31" ht="14" customHeight="1" x14ac:dyDescent="0.25"/>
    <row r="203" spans="3:31" ht="14" customHeight="1" x14ac:dyDescent="0.25"/>
    <row r="204" spans="3:31" ht="14" customHeight="1" x14ac:dyDescent="0.25"/>
    <row r="205" spans="3:31" ht="14" customHeight="1" x14ac:dyDescent="0.25"/>
    <row r="206" spans="3:31" ht="14" customHeight="1" x14ac:dyDescent="0.25"/>
    <row r="207" spans="3:31" ht="14" customHeight="1" x14ac:dyDescent="0.25"/>
    <row r="208" spans="3:31" ht="14" customHeight="1" x14ac:dyDescent="0.25"/>
    <row r="209" ht="14" customHeight="1" x14ac:dyDescent="0.25"/>
    <row r="210" ht="14" customHeight="1" x14ac:dyDescent="0.25"/>
    <row r="211" ht="14" customHeight="1" x14ac:dyDescent="0.25"/>
    <row r="212" ht="14" customHeight="1" x14ac:dyDescent="0.25"/>
    <row r="213" ht="14" customHeight="1" x14ac:dyDescent="0.25"/>
    <row r="214" ht="14" customHeight="1" x14ac:dyDescent="0.25"/>
    <row r="215" ht="14" customHeight="1" x14ac:dyDescent="0.25"/>
    <row r="216" ht="14" customHeight="1" x14ac:dyDescent="0.25"/>
    <row r="217" ht="14" customHeight="1" x14ac:dyDescent="0.25"/>
    <row r="218" ht="14" customHeight="1" x14ac:dyDescent="0.25"/>
    <row r="219" ht="14" customHeight="1" x14ac:dyDescent="0.25"/>
    <row r="220" ht="14" customHeight="1" x14ac:dyDescent="0.25"/>
    <row r="221" ht="14" customHeight="1" x14ac:dyDescent="0.25"/>
    <row r="222" ht="14" customHeight="1" x14ac:dyDescent="0.25"/>
    <row r="223" ht="14" customHeight="1" x14ac:dyDescent="0.25"/>
    <row r="224" ht="14" customHeight="1" x14ac:dyDescent="0.25"/>
    <row r="225" ht="14" customHeight="1" x14ac:dyDescent="0.25"/>
    <row r="226" ht="14" customHeight="1" x14ac:dyDescent="0.25"/>
    <row r="227" ht="14" customHeight="1" x14ac:dyDescent="0.25"/>
    <row r="228" ht="14" customHeight="1" x14ac:dyDescent="0.25"/>
    <row r="229" ht="14" customHeight="1" x14ac:dyDescent="0.25"/>
    <row r="230" ht="14" customHeight="1" x14ac:dyDescent="0.25"/>
    <row r="231" ht="14" customHeight="1" x14ac:dyDescent="0.25"/>
    <row r="232" ht="14" customHeight="1" x14ac:dyDescent="0.25"/>
    <row r="233" ht="14" customHeight="1" x14ac:dyDescent="0.25"/>
    <row r="234" ht="14" customHeight="1" x14ac:dyDescent="0.25"/>
    <row r="235" ht="14" customHeight="1" x14ac:dyDescent="0.25"/>
    <row r="236" ht="14" customHeight="1" x14ac:dyDescent="0.25"/>
    <row r="237" ht="14" customHeight="1" x14ac:dyDescent="0.25"/>
    <row r="238" ht="14" customHeight="1" x14ac:dyDescent="0.25"/>
    <row r="239" ht="14" customHeight="1" x14ac:dyDescent="0.25"/>
    <row r="240" ht="14" customHeight="1" x14ac:dyDescent="0.25"/>
    <row r="241" ht="14" customHeight="1" x14ac:dyDescent="0.25"/>
    <row r="242" ht="14" customHeight="1" x14ac:dyDescent="0.25"/>
    <row r="243" ht="14" customHeight="1" x14ac:dyDescent="0.25"/>
    <row r="244" ht="14" customHeight="1" x14ac:dyDescent="0.25"/>
    <row r="245" ht="14" customHeight="1" x14ac:dyDescent="0.25"/>
    <row r="246" ht="14" customHeight="1" x14ac:dyDescent="0.25"/>
    <row r="247" ht="14" customHeight="1" x14ac:dyDescent="0.25"/>
    <row r="248" ht="14" customHeight="1" x14ac:dyDescent="0.25"/>
    <row r="249" ht="14" customHeight="1" x14ac:dyDescent="0.25"/>
    <row r="250" ht="14" customHeight="1" x14ac:dyDescent="0.25"/>
    <row r="251" ht="14" customHeight="1" x14ac:dyDescent="0.25"/>
    <row r="252" ht="14" customHeight="1" x14ac:dyDescent="0.25"/>
    <row r="253" ht="14" customHeight="1" x14ac:dyDescent="0.25"/>
    <row r="254" ht="14" customHeight="1" x14ac:dyDescent="0.25"/>
    <row r="255" ht="14" customHeight="1" x14ac:dyDescent="0.25"/>
    <row r="256" ht="14" customHeight="1" x14ac:dyDescent="0.25"/>
    <row r="257" ht="14" customHeight="1" x14ac:dyDescent="0.25"/>
    <row r="258" ht="14" customHeight="1" x14ac:dyDescent="0.25"/>
    <row r="259" ht="14" customHeight="1" x14ac:dyDescent="0.25"/>
    <row r="260" ht="14" customHeight="1" x14ac:dyDescent="0.25"/>
    <row r="261" ht="14" customHeight="1" x14ac:dyDescent="0.25"/>
    <row r="262" ht="14" customHeight="1" x14ac:dyDescent="0.25"/>
    <row r="263" ht="14" customHeight="1" x14ac:dyDescent="0.25"/>
    <row r="264" ht="14" customHeight="1" x14ac:dyDescent="0.25"/>
    <row r="265" ht="14" customHeight="1" x14ac:dyDescent="0.25"/>
    <row r="266" ht="14" customHeight="1" x14ac:dyDescent="0.25"/>
    <row r="267" ht="14" customHeight="1" x14ac:dyDescent="0.25"/>
    <row r="268" ht="14" customHeight="1" x14ac:dyDescent="0.25"/>
    <row r="269" ht="14" customHeight="1" x14ac:dyDescent="0.25"/>
    <row r="270" ht="14" customHeight="1" x14ac:dyDescent="0.25"/>
    <row r="271" ht="14" customHeight="1" x14ac:dyDescent="0.25"/>
    <row r="272" ht="14" customHeight="1" x14ac:dyDescent="0.25"/>
    <row r="273" ht="14" customHeight="1" x14ac:dyDescent="0.25"/>
    <row r="274" ht="14" customHeight="1" x14ac:dyDescent="0.25"/>
    <row r="275" ht="14" customHeight="1" x14ac:dyDescent="0.25"/>
    <row r="276" ht="14" customHeight="1" x14ac:dyDescent="0.25"/>
    <row r="277" ht="14" customHeight="1" x14ac:dyDescent="0.25"/>
    <row r="278" ht="14" customHeight="1" x14ac:dyDescent="0.25"/>
    <row r="279" ht="14" customHeight="1" x14ac:dyDescent="0.25"/>
    <row r="280" ht="14" customHeight="1" x14ac:dyDescent="0.25"/>
    <row r="281" ht="14" customHeight="1" x14ac:dyDescent="0.25"/>
    <row r="282" ht="14" customHeight="1" x14ac:dyDescent="0.25"/>
    <row r="283" ht="14" customHeight="1" x14ac:dyDescent="0.25"/>
    <row r="284" ht="14" customHeight="1" x14ac:dyDescent="0.25"/>
    <row r="285" ht="14" customHeight="1" x14ac:dyDescent="0.25"/>
    <row r="286" ht="14" customHeight="1" x14ac:dyDescent="0.25"/>
    <row r="287" ht="14" customHeight="1" x14ac:dyDescent="0.25"/>
    <row r="288" ht="14" customHeight="1" x14ac:dyDescent="0.25"/>
    <row r="289" ht="14" customHeight="1" x14ac:dyDescent="0.25"/>
    <row r="290" ht="14" customHeight="1" x14ac:dyDescent="0.25"/>
    <row r="291" ht="14" customHeight="1" x14ac:dyDescent="0.25"/>
    <row r="292" ht="14" customHeight="1" x14ac:dyDescent="0.25"/>
    <row r="293" ht="14" customHeight="1" x14ac:dyDescent="0.25"/>
    <row r="294" ht="14" customHeight="1" x14ac:dyDescent="0.25"/>
    <row r="295" ht="14" customHeight="1" x14ac:dyDescent="0.25"/>
    <row r="296" ht="14" customHeight="1" x14ac:dyDescent="0.25"/>
    <row r="297" ht="14" customHeight="1" x14ac:dyDescent="0.25"/>
    <row r="298" ht="14" customHeight="1" x14ac:dyDescent="0.25"/>
    <row r="299" ht="14" customHeight="1" x14ac:dyDescent="0.25"/>
    <row r="300" ht="14" customHeight="1" x14ac:dyDescent="0.25"/>
    <row r="301" ht="14" customHeight="1" x14ac:dyDescent="0.25"/>
    <row r="302" ht="14" customHeight="1" x14ac:dyDescent="0.25"/>
    <row r="303" ht="14" customHeight="1" x14ac:dyDescent="0.25"/>
    <row r="304" ht="14" customHeight="1" x14ac:dyDescent="0.25"/>
    <row r="305" ht="14" customHeight="1" x14ac:dyDescent="0.25"/>
    <row r="306" ht="14" customHeight="1" x14ac:dyDescent="0.25"/>
    <row r="307" ht="14" customHeight="1" x14ac:dyDescent="0.25"/>
    <row r="308" ht="14" customHeight="1" x14ac:dyDescent="0.25"/>
    <row r="309" ht="14" customHeight="1" x14ac:dyDescent="0.25"/>
    <row r="310" ht="14" customHeight="1" x14ac:dyDescent="0.25"/>
  </sheetData>
  <phoneticPr fontId="19" type="noConversion"/>
  <pageMargins left="0.7" right="0.7" top="0.75" bottom="0.75" header="0.3" footer="0.3"/>
  <pageSetup paperSize="9" orientation="portrait" horizontalDpi="200" verticalDpi="200" r:id="rId1"/>
  <ignoredErrors>
    <ignoredError sqref="P4:P5 P32:P34 P116:P117 P144 P28 AE88:AE89 AE59:AE60 AE114 P114 AE172 AE142 P142 P12 AE12 P20:P23 AE28 P48:P50 P60:P62 P76:P78 AE99 P88:P91 P104:P107 AE124 P132:P134 O134 P152 AE152 P160 P172 P188:P19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B170"/>
  <sheetViews>
    <sheetView topLeftCell="D40" zoomScale="90" zoomScaleNormal="90" workbookViewId="0">
      <selection activeCell="I52" sqref="I52"/>
    </sheetView>
  </sheetViews>
  <sheetFormatPr defaultColWidth="8.69921875" defaultRowHeight="11.55" x14ac:dyDescent="0.25"/>
  <cols>
    <col min="1" max="1" width="5.69921875" style="148" customWidth="1"/>
    <col min="2" max="2" width="25.8984375" style="148" customWidth="1"/>
    <col min="3" max="3" width="11.59765625" style="148" customWidth="1"/>
    <col min="4" max="4" width="10.09765625" style="148" customWidth="1"/>
    <col min="5" max="5" width="11.59765625" style="148" customWidth="1"/>
    <col min="6" max="11" width="9.09765625" style="148" customWidth="1"/>
    <col min="12" max="14" width="8.8984375" style="148" customWidth="1"/>
    <col min="15" max="15" width="9.296875" style="148" customWidth="1"/>
    <col min="16" max="16" width="40.3984375" style="148" customWidth="1"/>
    <col min="17" max="18" width="8.69921875" style="148"/>
    <col min="19" max="19" width="11.59765625" style="148" customWidth="1"/>
    <col min="20" max="16384" width="8.69921875" style="148"/>
  </cols>
  <sheetData>
    <row r="1" spans="2:17" ht="14" customHeight="1" x14ac:dyDescent="0.25">
      <c r="B1" s="214" t="s">
        <v>186</v>
      </c>
      <c r="Q1" s="127"/>
    </row>
    <row r="2" spans="2:17" ht="14" customHeight="1" x14ac:dyDescent="0.25">
      <c r="B2" s="128"/>
      <c r="C2" s="128">
        <v>2014</v>
      </c>
      <c r="D2" s="128">
        <v>2015</v>
      </c>
      <c r="E2" s="128">
        <v>2016</v>
      </c>
      <c r="F2" s="128">
        <v>2017</v>
      </c>
      <c r="G2" s="128">
        <v>2018</v>
      </c>
      <c r="H2" s="128">
        <v>2019</v>
      </c>
      <c r="I2" s="128">
        <v>2020</v>
      </c>
      <c r="J2" s="128">
        <v>2021</v>
      </c>
      <c r="K2" s="128">
        <v>2022</v>
      </c>
      <c r="L2" s="128">
        <v>2023</v>
      </c>
      <c r="M2" s="161">
        <v>2024</v>
      </c>
      <c r="N2" s="161">
        <v>2025</v>
      </c>
    </row>
    <row r="3" spans="2:17" ht="14" customHeight="1" x14ac:dyDescent="0.25">
      <c r="B3" s="127" t="s">
        <v>169</v>
      </c>
      <c r="C3" s="129">
        <v>7.5</v>
      </c>
      <c r="D3" s="129">
        <v>33.1</v>
      </c>
      <c r="E3" s="129">
        <v>50.7</v>
      </c>
      <c r="F3" s="129">
        <v>77.7</v>
      </c>
      <c r="G3" s="129">
        <v>125.6</v>
      </c>
      <c r="H3" s="129">
        <v>120.6</v>
      </c>
      <c r="I3" s="129">
        <v>136.69999999999999</v>
      </c>
      <c r="J3" s="130">
        <v>352.1</v>
      </c>
      <c r="K3" s="131">
        <v>688.7</v>
      </c>
      <c r="L3" s="131">
        <v>949.5</v>
      </c>
      <c r="M3" s="131">
        <v>1286.5999999999999</v>
      </c>
      <c r="N3" s="131">
        <v>1649.1</v>
      </c>
    </row>
    <row r="4" spans="2:17" ht="14" customHeight="1" x14ac:dyDescent="0.25">
      <c r="B4" s="47" t="s">
        <v>47</v>
      </c>
      <c r="C4" s="162"/>
      <c r="D4" s="163">
        <f t="shared" ref="D4:J4" si="0">D3/C3-1</f>
        <v>3.4133333333333331</v>
      </c>
      <c r="E4" s="163">
        <f t="shared" si="0"/>
        <v>0.53172205438066467</v>
      </c>
      <c r="F4" s="163">
        <f t="shared" si="0"/>
        <v>0.53254437869822491</v>
      </c>
      <c r="G4" s="163">
        <f t="shared" si="0"/>
        <v>0.61647361647361643</v>
      </c>
      <c r="H4" s="163">
        <f t="shared" si="0"/>
        <v>-3.9808917197452276E-2</v>
      </c>
      <c r="I4" s="163">
        <f t="shared" si="0"/>
        <v>0.13349917081260365</v>
      </c>
      <c r="J4" s="163">
        <f t="shared" si="0"/>
        <v>1.5757132406730068</v>
      </c>
      <c r="K4" s="164">
        <v>0.93400000000000005</v>
      </c>
      <c r="L4" s="164">
        <f>L3/K3-1</f>
        <v>0.37868447800203264</v>
      </c>
      <c r="M4" s="164">
        <f>M3/L3-1</f>
        <v>0.35502896261190098</v>
      </c>
      <c r="N4" s="164">
        <f>N3/M3-1</f>
        <v>0.281750349759055</v>
      </c>
    </row>
    <row r="5" spans="2:17" ht="14" customHeight="1" x14ac:dyDescent="0.25">
      <c r="B5" s="165" t="s">
        <v>170</v>
      </c>
      <c r="C5" s="165"/>
      <c r="D5" s="166">
        <v>24.748200000000001</v>
      </c>
      <c r="E5" s="132">
        <v>40.9</v>
      </c>
      <c r="F5" s="132">
        <v>65.2</v>
      </c>
      <c r="G5" s="166">
        <v>79.164400000000001</v>
      </c>
      <c r="H5" s="166">
        <v>83.025400000000005</v>
      </c>
      <c r="I5" s="166">
        <v>95.897999999999996</v>
      </c>
      <c r="J5" s="166">
        <v>272.08969999999999</v>
      </c>
      <c r="K5" s="132">
        <v>535.6</v>
      </c>
      <c r="L5" s="132">
        <v>669.5</v>
      </c>
      <c r="M5" s="132">
        <v>771.9</v>
      </c>
      <c r="N5" s="132">
        <v>1062.2</v>
      </c>
    </row>
    <row r="6" spans="2:17" ht="14" customHeight="1" x14ac:dyDescent="0.25">
      <c r="B6" s="165" t="s">
        <v>30</v>
      </c>
      <c r="C6" s="165"/>
      <c r="D6" s="166">
        <f t="shared" ref="D6:J6" si="1">D3-D5</f>
        <v>8.3518000000000008</v>
      </c>
      <c r="E6" s="166">
        <f t="shared" si="1"/>
        <v>9.8000000000000043</v>
      </c>
      <c r="F6" s="166">
        <f t="shared" si="1"/>
        <v>12.5</v>
      </c>
      <c r="G6" s="166">
        <f t="shared" si="1"/>
        <v>46.435599999999994</v>
      </c>
      <c r="H6" s="166">
        <f t="shared" si="1"/>
        <v>37.57459999999999</v>
      </c>
      <c r="I6" s="166">
        <f t="shared" si="1"/>
        <v>40.801999999999992</v>
      </c>
      <c r="J6" s="166">
        <f t="shared" si="1"/>
        <v>80.010300000000029</v>
      </c>
      <c r="K6" s="132">
        <v>151.80000000000001</v>
      </c>
      <c r="L6" s="132">
        <v>280.39999999999998</v>
      </c>
      <c r="M6" s="132">
        <v>514.1</v>
      </c>
      <c r="N6" s="132">
        <v>586.1</v>
      </c>
    </row>
    <row r="7" spans="2:17" ht="14" customHeight="1" x14ac:dyDescent="0.25">
      <c r="B7" s="165" t="s">
        <v>171</v>
      </c>
      <c r="C7" s="167"/>
      <c r="D7" s="167">
        <f t="shared" ref="D7:K7" si="2">D5/D3</f>
        <v>0.74767975830815714</v>
      </c>
      <c r="E7" s="167">
        <f t="shared" si="2"/>
        <v>0.80670611439842199</v>
      </c>
      <c r="F7" s="167">
        <f t="shared" si="2"/>
        <v>0.83912483912483915</v>
      </c>
      <c r="G7" s="167">
        <f t="shared" si="2"/>
        <v>0.63028980891719744</v>
      </c>
      <c r="H7" s="167">
        <f t="shared" si="2"/>
        <v>0.68843615257048096</v>
      </c>
      <c r="I7" s="167">
        <f t="shared" si="2"/>
        <v>0.70152158010241406</v>
      </c>
      <c r="J7" s="167">
        <f t="shared" si="2"/>
        <v>0.77276256745242822</v>
      </c>
      <c r="K7" s="167">
        <f t="shared" si="2"/>
        <v>0.7776971104980398</v>
      </c>
      <c r="L7" s="167">
        <f>L5/L3</f>
        <v>0.70510795155344919</v>
      </c>
      <c r="M7" s="167">
        <f>M5/M3</f>
        <v>0.5999533654593503</v>
      </c>
      <c r="N7" s="167">
        <f>N5/N3</f>
        <v>0.64410890788915176</v>
      </c>
    </row>
    <row r="8" spans="2:17" ht="14" customHeight="1" x14ac:dyDescent="0.25">
      <c r="B8" s="127" t="s">
        <v>172</v>
      </c>
      <c r="C8" s="168">
        <v>1970.06</v>
      </c>
      <c r="D8" s="168">
        <v>2114.63</v>
      </c>
      <c r="E8" s="169">
        <v>2437.69</v>
      </c>
      <c r="F8" s="169">
        <v>2471.83</v>
      </c>
      <c r="G8" s="169">
        <v>2370.98</v>
      </c>
      <c r="H8" s="169">
        <v>2144.42</v>
      </c>
      <c r="I8" s="169">
        <v>2017.77</v>
      </c>
      <c r="J8" s="169">
        <v>2148.15</v>
      </c>
      <c r="K8" s="160">
        <v>2356.4</v>
      </c>
      <c r="L8" s="160">
        <v>2606.3000000000002</v>
      </c>
      <c r="M8" s="160">
        <v>2756.3</v>
      </c>
      <c r="N8" s="160">
        <v>3010.3</v>
      </c>
    </row>
    <row r="9" spans="2:17" ht="14" customHeight="1" x14ac:dyDescent="0.25">
      <c r="B9" s="47" t="s">
        <v>47</v>
      </c>
      <c r="C9" s="170"/>
      <c r="D9" s="164">
        <f t="shared" ref="D9:I9" si="3">(D8-C8)/C8</f>
        <v>7.3383551769996933E-2</v>
      </c>
      <c r="E9" s="164">
        <f t="shared" si="3"/>
        <v>0.15277377129805211</v>
      </c>
      <c r="F9" s="164">
        <f t="shared" si="3"/>
        <v>1.4005062169512889E-2</v>
      </c>
      <c r="G9" s="164">
        <f t="shared" si="3"/>
        <v>-4.0799731373112193E-2</v>
      </c>
      <c r="H9" s="164">
        <f t="shared" si="3"/>
        <v>-9.5555424339302711E-2</v>
      </c>
      <c r="I9" s="164">
        <f t="shared" si="3"/>
        <v>-5.9060258717975066E-2</v>
      </c>
      <c r="J9" s="164">
        <f>J8/H8-1</f>
        <v>1.7393980656774666E-3</v>
      </c>
      <c r="K9" s="164">
        <v>9.5000000000000001E-2</v>
      </c>
      <c r="L9" s="164">
        <f>L8/K8-1</f>
        <v>0.1060516041419115</v>
      </c>
      <c r="M9" s="164">
        <f>M8/L8-1</f>
        <v>5.7552852703065538E-2</v>
      </c>
      <c r="N9" s="164">
        <f>N8/M8-1</f>
        <v>9.2152523310234713E-2</v>
      </c>
    </row>
    <row r="10" spans="2:17" ht="14" customHeight="1" x14ac:dyDescent="0.25">
      <c r="B10" s="127" t="s">
        <v>173</v>
      </c>
      <c r="C10" s="171">
        <v>2349.19</v>
      </c>
      <c r="D10" s="171">
        <v>2459.7600000000002</v>
      </c>
      <c r="E10" s="172">
        <v>2802.82</v>
      </c>
      <c r="F10" s="172">
        <v>2887.89</v>
      </c>
      <c r="G10" s="172">
        <v>2808.06</v>
      </c>
      <c r="H10" s="172">
        <v>2576.9</v>
      </c>
      <c r="I10" s="172">
        <v>2531.1</v>
      </c>
      <c r="J10" s="172">
        <v>2627.5</v>
      </c>
      <c r="K10" s="131">
        <v>2686.4</v>
      </c>
      <c r="L10" s="131">
        <v>3009.4</v>
      </c>
      <c r="M10" s="131">
        <v>3143.6</v>
      </c>
      <c r="N10" s="131">
        <v>3440</v>
      </c>
    </row>
    <row r="11" spans="2:17" ht="14" customHeight="1" x14ac:dyDescent="0.25">
      <c r="B11" s="47" t="s">
        <v>47</v>
      </c>
      <c r="C11" s="170"/>
      <c r="D11" s="164">
        <f t="shared" ref="D11:I11" si="4">(D10-C10)/C10</f>
        <v>4.7067287022335424E-2</v>
      </c>
      <c r="E11" s="164">
        <f t="shared" si="4"/>
        <v>0.13946889127394538</v>
      </c>
      <c r="F11" s="164">
        <f t="shared" si="4"/>
        <v>3.0351574485696444E-2</v>
      </c>
      <c r="G11" s="164">
        <f t="shared" si="4"/>
        <v>-2.7643019644099993E-2</v>
      </c>
      <c r="H11" s="164">
        <f t="shared" si="4"/>
        <v>-8.2320178343767536E-2</v>
      </c>
      <c r="I11" s="164">
        <f t="shared" si="4"/>
        <v>-1.7773293492180597E-2</v>
      </c>
      <c r="J11" s="164">
        <f>J10/H10-1</f>
        <v>1.9635996740269279E-2</v>
      </c>
      <c r="K11" s="164">
        <v>2.1000000000000001E-2</v>
      </c>
      <c r="L11" s="164">
        <f>L10/K10-1</f>
        <v>0.12023525908278732</v>
      </c>
      <c r="M11" s="164">
        <f>M10/L10-1</f>
        <v>4.4593606699009802E-2</v>
      </c>
      <c r="N11" s="164">
        <f>N10/M10-1</f>
        <v>9.4286804937014912E-2</v>
      </c>
    </row>
    <row r="12" spans="2:17" ht="14" customHeight="1" x14ac:dyDescent="0.25">
      <c r="B12" s="127" t="s">
        <v>174</v>
      </c>
      <c r="C12" s="173">
        <f t="shared" ref="C12:M12" si="5">C3/C10</f>
        <v>3.1925897862667557E-3</v>
      </c>
      <c r="D12" s="173">
        <f t="shared" si="5"/>
        <v>1.3456597391615442E-2</v>
      </c>
      <c r="E12" s="173">
        <f t="shared" si="5"/>
        <v>1.8088924725811861E-2</v>
      </c>
      <c r="F12" s="173">
        <f t="shared" si="5"/>
        <v>2.6905456925298405E-2</v>
      </c>
      <c r="G12" s="173">
        <f t="shared" si="5"/>
        <v>4.4728388994537155E-2</v>
      </c>
      <c r="H12" s="173">
        <f t="shared" si="5"/>
        <v>4.6800419108230816E-2</v>
      </c>
      <c r="I12" s="173">
        <f t="shared" si="5"/>
        <v>5.4008138753901466E-2</v>
      </c>
      <c r="J12" s="173">
        <f t="shared" si="5"/>
        <v>0.13400570884871552</v>
      </c>
      <c r="K12" s="173">
        <f t="shared" si="5"/>
        <v>0.25636539606908876</v>
      </c>
      <c r="L12" s="173">
        <f t="shared" si="5"/>
        <v>0.31551139762078817</v>
      </c>
      <c r="M12" s="173">
        <f t="shared" si="5"/>
        <v>0.40927598931161724</v>
      </c>
      <c r="N12" s="173">
        <f>N3/N10</f>
        <v>0.47938953488372088</v>
      </c>
    </row>
    <row r="13" spans="2:17" ht="14" customHeight="1" x14ac:dyDescent="0.25"/>
    <row r="14" spans="2:17" ht="14" customHeight="1" x14ac:dyDescent="0.25"/>
    <row r="15" spans="2:17" ht="14" customHeight="1" x14ac:dyDescent="0.25">
      <c r="B15" s="217" t="s">
        <v>211</v>
      </c>
      <c r="C15" s="133" t="s">
        <v>49</v>
      </c>
      <c r="D15" s="133" t="s">
        <v>50</v>
      </c>
      <c r="E15" s="133" t="s">
        <v>51</v>
      </c>
      <c r="F15" s="133" t="s">
        <v>52</v>
      </c>
      <c r="G15" s="133" t="s">
        <v>53</v>
      </c>
      <c r="H15" s="133" t="s">
        <v>54</v>
      </c>
      <c r="I15" s="133" t="s">
        <v>55</v>
      </c>
      <c r="J15" s="133" t="s">
        <v>56</v>
      </c>
      <c r="K15" s="133" t="s">
        <v>57</v>
      </c>
      <c r="L15" s="133" t="s">
        <v>58</v>
      </c>
      <c r="M15" s="133" t="s">
        <v>59</v>
      </c>
      <c r="N15" s="133" t="s">
        <v>60</v>
      </c>
      <c r="O15" s="133" t="s">
        <v>38</v>
      </c>
    </row>
    <row r="16" spans="2:17" ht="14" customHeight="1" x14ac:dyDescent="0.25">
      <c r="B16" s="47">
        <v>2018</v>
      </c>
      <c r="C16" s="174">
        <v>3.847</v>
      </c>
      <c r="D16" s="174">
        <v>3.4420000000000002</v>
      </c>
      <c r="E16" s="174">
        <v>6.7778</v>
      </c>
      <c r="F16" s="174">
        <v>8.1904000000000003</v>
      </c>
      <c r="G16" s="174">
        <v>10.199999999999999</v>
      </c>
      <c r="H16" s="174">
        <v>8.4</v>
      </c>
      <c r="I16" s="174">
        <v>8.4</v>
      </c>
      <c r="J16" s="174">
        <v>10.1</v>
      </c>
      <c r="K16" s="174">
        <v>12.1</v>
      </c>
      <c r="L16" s="174">
        <v>13.8</v>
      </c>
      <c r="M16" s="174">
        <v>16.899999999999999</v>
      </c>
      <c r="N16" s="174">
        <v>22.5</v>
      </c>
      <c r="O16" s="134">
        <v>125.6</v>
      </c>
    </row>
    <row r="17" spans="2:20" ht="14" customHeight="1" x14ac:dyDescent="0.25">
      <c r="B17" s="47">
        <v>2019</v>
      </c>
      <c r="C17" s="174">
        <v>9.6</v>
      </c>
      <c r="D17" s="174">
        <v>5.3</v>
      </c>
      <c r="E17" s="174">
        <v>12.6</v>
      </c>
      <c r="F17" s="174">
        <v>9.6999999999999993</v>
      </c>
      <c r="G17" s="174">
        <v>10.4</v>
      </c>
      <c r="H17" s="174">
        <v>15.2</v>
      </c>
      <c r="I17" s="174">
        <v>8</v>
      </c>
      <c r="J17" s="174">
        <v>8.5</v>
      </c>
      <c r="K17" s="174">
        <v>8</v>
      </c>
      <c r="L17" s="174">
        <v>7.5</v>
      </c>
      <c r="M17" s="174">
        <v>9.5</v>
      </c>
      <c r="N17" s="174">
        <v>16.3</v>
      </c>
      <c r="O17" s="134">
        <f>SUM(C17:N17)</f>
        <v>120.6</v>
      </c>
    </row>
    <row r="18" spans="2:20" ht="14" customHeight="1" x14ac:dyDescent="0.25">
      <c r="B18" s="47">
        <v>2020</v>
      </c>
      <c r="C18" s="174">
        <v>4.4000000000000004</v>
      </c>
      <c r="D18" s="174">
        <v>1.2907999999999999</v>
      </c>
      <c r="E18" s="174">
        <v>5.3</v>
      </c>
      <c r="F18" s="174">
        <v>7.2</v>
      </c>
      <c r="G18" s="174">
        <v>8.1999999999999993</v>
      </c>
      <c r="H18" s="174">
        <v>10.4</v>
      </c>
      <c r="I18" s="174">
        <v>9.8000000000000007</v>
      </c>
      <c r="J18" s="174">
        <v>10.9</v>
      </c>
      <c r="K18" s="174">
        <v>13.8</v>
      </c>
      <c r="L18" s="174">
        <v>16</v>
      </c>
      <c r="M18" s="174">
        <v>20</v>
      </c>
      <c r="N18" s="174">
        <v>24.8</v>
      </c>
      <c r="O18" s="134">
        <v>136.69999999999999</v>
      </c>
      <c r="T18" s="135"/>
    </row>
    <row r="19" spans="2:20" ht="14" customHeight="1" x14ac:dyDescent="0.25">
      <c r="B19" s="47">
        <v>2021</v>
      </c>
      <c r="C19" s="174">
        <v>17.899999999999999</v>
      </c>
      <c r="D19" s="174">
        <v>11</v>
      </c>
      <c r="E19" s="174">
        <v>22.6</v>
      </c>
      <c r="F19" s="174">
        <v>20.6</v>
      </c>
      <c r="G19" s="174">
        <v>21.7</v>
      </c>
      <c r="H19" s="174">
        <v>25.6</v>
      </c>
      <c r="I19" s="174">
        <v>27.1</v>
      </c>
      <c r="J19" s="174">
        <v>32.1</v>
      </c>
      <c r="K19" s="174">
        <v>35.700000000000003</v>
      </c>
      <c r="L19" s="174">
        <v>38.299999999999997</v>
      </c>
      <c r="M19" s="174">
        <v>45</v>
      </c>
      <c r="N19" s="174">
        <v>53.1</v>
      </c>
      <c r="O19" s="134">
        <v>352.1</v>
      </c>
      <c r="T19" s="135"/>
    </row>
    <row r="20" spans="2:20" ht="14" customHeight="1" x14ac:dyDescent="0.25">
      <c r="B20" s="47">
        <v>2022</v>
      </c>
      <c r="C20" s="48">
        <v>43.1</v>
      </c>
      <c r="D20" s="48">
        <v>33.4</v>
      </c>
      <c r="E20" s="48">
        <v>48.4</v>
      </c>
      <c r="F20" s="48">
        <v>29.9</v>
      </c>
      <c r="G20" s="48">
        <v>44.7</v>
      </c>
      <c r="H20" s="48">
        <v>59.6</v>
      </c>
      <c r="I20" s="48">
        <v>59.3</v>
      </c>
      <c r="J20" s="134">
        <v>66.599999999999994</v>
      </c>
      <c r="K20" s="134">
        <v>70.8</v>
      </c>
      <c r="L20" s="134">
        <v>71.400000000000006</v>
      </c>
      <c r="M20" s="134">
        <v>78.599999999999994</v>
      </c>
      <c r="N20" s="134">
        <v>81.400000000000006</v>
      </c>
      <c r="O20" s="134">
        <v>688.7</v>
      </c>
      <c r="T20" s="135"/>
    </row>
    <row r="21" spans="2:20" ht="14" customHeight="1" x14ac:dyDescent="0.25">
      <c r="B21" s="47">
        <v>2023</v>
      </c>
      <c r="C21" s="48">
        <v>40.799999999999997</v>
      </c>
      <c r="D21" s="48">
        <v>52.5</v>
      </c>
      <c r="E21" s="48">
        <v>65.3</v>
      </c>
      <c r="F21" s="48">
        <v>63.6</v>
      </c>
      <c r="G21" s="48">
        <v>71.7</v>
      </c>
      <c r="H21" s="48">
        <v>80.599999999999994</v>
      </c>
      <c r="I21" s="48">
        <v>78</v>
      </c>
      <c r="J21" s="134">
        <v>84.6</v>
      </c>
      <c r="K21" s="134">
        <v>90.4</v>
      </c>
      <c r="L21" s="134">
        <v>95.6</v>
      </c>
      <c r="M21" s="134">
        <v>102.6</v>
      </c>
      <c r="N21" s="134">
        <v>119.1</v>
      </c>
      <c r="O21" s="134">
        <v>949.5</v>
      </c>
      <c r="Q21" s="175"/>
      <c r="T21" s="63"/>
    </row>
    <row r="22" spans="2:20" ht="14" customHeight="1" x14ac:dyDescent="0.25">
      <c r="B22" s="47">
        <v>2024</v>
      </c>
      <c r="C22" s="48">
        <v>72.900000000000006</v>
      </c>
      <c r="D22" s="48">
        <f>47.7</f>
        <v>47.7</v>
      </c>
      <c r="E22" s="48">
        <v>88.3</v>
      </c>
      <c r="F22" s="48">
        <v>85</v>
      </c>
      <c r="G22" s="48">
        <v>95.5</v>
      </c>
      <c r="H22" s="48">
        <v>104.9</v>
      </c>
      <c r="I22" s="48">
        <v>99.1</v>
      </c>
      <c r="J22" s="134">
        <v>110</v>
      </c>
      <c r="K22" s="134">
        <v>128.69999999999999</v>
      </c>
      <c r="L22" s="134">
        <v>143</v>
      </c>
      <c r="M22" s="134">
        <v>151.19999999999999</v>
      </c>
      <c r="N22" s="134">
        <v>159.6</v>
      </c>
      <c r="O22" s="134">
        <v>1286.5999999999999</v>
      </c>
    </row>
    <row r="23" spans="2:20" ht="14" customHeight="1" x14ac:dyDescent="0.25">
      <c r="B23" s="47">
        <v>2025</v>
      </c>
      <c r="C23" s="48">
        <v>94.4</v>
      </c>
      <c r="D23" s="48">
        <v>89.2</v>
      </c>
      <c r="E23" s="48">
        <v>123.7</v>
      </c>
      <c r="F23" s="48">
        <v>122.6</v>
      </c>
      <c r="G23" s="48">
        <v>130.69999999999999</v>
      </c>
      <c r="H23" s="48">
        <v>132.9</v>
      </c>
      <c r="I23" s="48">
        <v>126.2</v>
      </c>
      <c r="J23" s="134">
        <v>139.5</v>
      </c>
      <c r="K23" s="134">
        <v>160.4</v>
      </c>
      <c r="L23" s="134">
        <v>171.5</v>
      </c>
      <c r="M23" s="134">
        <v>182.3</v>
      </c>
      <c r="N23" s="134">
        <f>110.8+59.9+0.4</f>
        <v>171.1</v>
      </c>
      <c r="O23" s="134">
        <v>1649.1</v>
      </c>
      <c r="P23" s="136"/>
    </row>
    <row r="24" spans="2:20" ht="14" customHeight="1" x14ac:dyDescent="0.25">
      <c r="B24" s="176" t="s">
        <v>118</v>
      </c>
      <c r="C24" s="167">
        <f t="shared" ref="C24:O24" si="6">C23/C22-1</f>
        <v>0.29492455418381347</v>
      </c>
      <c r="D24" s="167">
        <f t="shared" si="6"/>
        <v>0.87002096436058696</v>
      </c>
      <c r="E24" s="167">
        <f t="shared" si="6"/>
        <v>0.40090600226500572</v>
      </c>
      <c r="F24" s="167">
        <f t="shared" si="6"/>
        <v>0.44235294117647062</v>
      </c>
      <c r="G24" s="167">
        <f t="shared" si="6"/>
        <v>0.36858638743455496</v>
      </c>
      <c r="H24" s="167">
        <f t="shared" si="6"/>
        <v>0.26692087702573875</v>
      </c>
      <c r="I24" s="167">
        <f t="shared" si="6"/>
        <v>0.27346115035317875</v>
      </c>
      <c r="J24" s="167">
        <f t="shared" si="6"/>
        <v>0.26818181818181808</v>
      </c>
      <c r="K24" s="167">
        <f t="shared" si="6"/>
        <v>0.24630924630924644</v>
      </c>
      <c r="L24" s="167">
        <f t="shared" si="6"/>
        <v>0.19930069930069938</v>
      </c>
      <c r="M24" s="167">
        <f t="shared" si="6"/>
        <v>0.20568783068783092</v>
      </c>
      <c r="N24" s="167">
        <f t="shared" si="6"/>
        <v>7.2055137844611483E-2</v>
      </c>
      <c r="O24" s="167">
        <f t="shared" si="6"/>
        <v>0.281750349759055</v>
      </c>
    </row>
    <row r="25" spans="2:20" ht="14" customHeight="1" x14ac:dyDescent="0.25">
      <c r="B25" s="176" t="s">
        <v>48</v>
      </c>
      <c r="C25" s="177">
        <f>C23/N22-1</f>
        <v>-0.40852130325814529</v>
      </c>
      <c r="D25" s="167">
        <f t="shared" ref="D25:N25" si="7">D23/C23-1</f>
        <v>-5.508474576271194E-2</v>
      </c>
      <c r="E25" s="167">
        <f t="shared" si="7"/>
        <v>0.38677130044843056</v>
      </c>
      <c r="F25" s="167">
        <f t="shared" si="7"/>
        <v>-8.8924818108326864E-3</v>
      </c>
      <c r="G25" s="167">
        <f t="shared" si="7"/>
        <v>6.6068515497552882E-2</v>
      </c>
      <c r="H25" s="167">
        <f t="shared" si="7"/>
        <v>1.6832440703902218E-2</v>
      </c>
      <c r="I25" s="167">
        <f t="shared" si="7"/>
        <v>-5.04138449962378E-2</v>
      </c>
      <c r="J25" s="167">
        <f t="shared" si="7"/>
        <v>0.10538827258320116</v>
      </c>
      <c r="K25" s="167">
        <f t="shared" si="7"/>
        <v>0.1498207885304661</v>
      </c>
      <c r="L25" s="167">
        <f t="shared" si="7"/>
        <v>6.9201995012468709E-2</v>
      </c>
      <c r="M25" s="167">
        <f t="shared" si="7"/>
        <v>6.29737609329446E-2</v>
      </c>
      <c r="N25" s="167">
        <f t="shared" si="7"/>
        <v>-6.1437191442677008E-2</v>
      </c>
      <c r="O25" s="137"/>
    </row>
    <row r="26" spans="2:20" ht="14" customHeight="1" x14ac:dyDescent="0.25">
      <c r="B26" s="47">
        <v>2026</v>
      </c>
      <c r="C26" s="48">
        <v>94.5</v>
      </c>
      <c r="D26" s="48">
        <v>76.5</v>
      </c>
      <c r="E26" s="48">
        <v>125.2</v>
      </c>
      <c r="F26" s="48">
        <v>134.4</v>
      </c>
      <c r="G26" s="48">
        <v>149.6</v>
      </c>
      <c r="H26" s="48"/>
      <c r="I26" s="48"/>
      <c r="J26" s="134"/>
      <c r="K26" s="134"/>
      <c r="L26" s="134"/>
      <c r="M26" s="134"/>
      <c r="N26" s="134"/>
      <c r="O26" s="134"/>
      <c r="P26" s="136"/>
    </row>
    <row r="27" spans="2:20" ht="14" customHeight="1" x14ac:dyDescent="0.25">
      <c r="B27" s="176" t="s">
        <v>118</v>
      </c>
      <c r="C27" s="167">
        <f>C26/C23-1</f>
        <v>1.0593220338981357E-3</v>
      </c>
      <c r="D27" s="167">
        <f>D26/D23-1</f>
        <v>-0.1423766816143498</v>
      </c>
      <c r="E27" s="167">
        <f>E26/E23-1</f>
        <v>1.2126111560226249E-2</v>
      </c>
      <c r="F27" s="167">
        <f>F26/F23-1</f>
        <v>9.6247960848287128E-2</v>
      </c>
      <c r="G27" s="167">
        <f>G26/G23-1</f>
        <v>0.14460596786534063</v>
      </c>
      <c r="H27" s="167"/>
      <c r="I27" s="167"/>
      <c r="J27" s="167"/>
      <c r="K27" s="167"/>
      <c r="L27" s="167"/>
      <c r="M27" s="167"/>
      <c r="N27" s="167"/>
      <c r="O27" s="167"/>
    </row>
    <row r="28" spans="2:20" ht="14" customHeight="1" x14ac:dyDescent="0.25">
      <c r="B28" s="176" t="s">
        <v>48</v>
      </c>
      <c r="C28" s="177">
        <f>C26/N23-1</f>
        <v>-0.44769140853302158</v>
      </c>
      <c r="D28" s="167">
        <f>D26/C26-1</f>
        <v>-0.19047619047619047</v>
      </c>
      <c r="E28" s="167">
        <f>E26/D26-1</f>
        <v>0.63660130718954244</v>
      </c>
      <c r="F28" s="167">
        <f>F26/E26-1</f>
        <v>7.348242811501593E-2</v>
      </c>
      <c r="G28" s="167">
        <f>G26/F26-1</f>
        <v>0.11309523809523792</v>
      </c>
      <c r="H28" s="167"/>
      <c r="I28" s="167"/>
      <c r="J28" s="167"/>
      <c r="K28" s="167"/>
      <c r="L28" s="167"/>
      <c r="M28" s="167"/>
      <c r="N28" s="167"/>
      <c r="O28" s="137"/>
    </row>
    <row r="29" spans="2:20" ht="14" customHeight="1" x14ac:dyDescent="0.25">
      <c r="B29" s="47"/>
      <c r="C29" s="138"/>
      <c r="D29" s="138"/>
      <c r="E29" s="138"/>
      <c r="F29" s="138"/>
      <c r="G29" s="138"/>
      <c r="H29" s="138"/>
      <c r="I29" s="138"/>
      <c r="J29" s="138"/>
      <c r="K29" s="138"/>
      <c r="L29" s="138"/>
      <c r="M29" s="138"/>
      <c r="N29" s="138"/>
      <c r="O29" s="138"/>
    </row>
    <row r="30" spans="2:20" ht="14" customHeight="1" x14ac:dyDescent="0.25">
      <c r="B30" s="133" t="s">
        <v>175</v>
      </c>
      <c r="C30" s="133" t="s">
        <v>49</v>
      </c>
      <c r="D30" s="133" t="s">
        <v>50</v>
      </c>
      <c r="E30" s="133" t="s">
        <v>51</v>
      </c>
      <c r="F30" s="133" t="s">
        <v>52</v>
      </c>
      <c r="G30" s="133" t="s">
        <v>53</v>
      </c>
      <c r="H30" s="133" t="s">
        <v>54</v>
      </c>
      <c r="I30" s="133" t="s">
        <v>55</v>
      </c>
      <c r="J30" s="133" t="s">
        <v>56</v>
      </c>
      <c r="K30" s="133" t="s">
        <v>57</v>
      </c>
      <c r="L30" s="133" t="s">
        <v>58</v>
      </c>
      <c r="M30" s="133" t="s">
        <v>59</v>
      </c>
      <c r="N30" s="133" t="s">
        <v>60</v>
      </c>
      <c r="O30" s="133" t="s">
        <v>38</v>
      </c>
    </row>
    <row r="31" spans="2:20" ht="14" customHeight="1" x14ac:dyDescent="0.25">
      <c r="B31" s="47">
        <v>2018</v>
      </c>
      <c r="C31" s="48">
        <v>280.92110000000002</v>
      </c>
      <c r="D31" s="48">
        <v>171.7603</v>
      </c>
      <c r="E31" s="48">
        <v>265.6259</v>
      </c>
      <c r="F31" s="48">
        <v>231.8552</v>
      </c>
      <c r="G31" s="48">
        <v>228.7706</v>
      </c>
      <c r="H31" s="48">
        <v>227.36689999999999</v>
      </c>
      <c r="I31" s="48">
        <v>188.91149999999999</v>
      </c>
      <c r="J31" s="48">
        <v>210.33590000000001</v>
      </c>
      <c r="K31" s="48">
        <v>239.40620000000001</v>
      </c>
      <c r="L31" s="48">
        <v>238.0127</v>
      </c>
      <c r="M31" s="48">
        <v>254.78190000000001</v>
      </c>
      <c r="N31" s="48">
        <v>266.1465</v>
      </c>
      <c r="O31" s="134">
        <v>2808.06</v>
      </c>
    </row>
    <row r="32" spans="2:20" ht="14" customHeight="1" x14ac:dyDescent="0.25">
      <c r="B32" s="47">
        <v>2019</v>
      </c>
      <c r="C32" s="48">
        <v>236.7278</v>
      </c>
      <c r="D32" s="48">
        <v>148.1602</v>
      </c>
      <c r="E32" s="48">
        <v>252.00129999999999</v>
      </c>
      <c r="F32" s="48">
        <v>198.0497</v>
      </c>
      <c r="G32" s="48">
        <v>191.25649999999999</v>
      </c>
      <c r="H32" s="48">
        <v>205.6446</v>
      </c>
      <c r="I32" s="48">
        <v>180.84719999999999</v>
      </c>
      <c r="J32" s="48">
        <v>195.75720000000001</v>
      </c>
      <c r="K32" s="48">
        <v>227.06819999999999</v>
      </c>
      <c r="L32" s="48">
        <v>228.417</v>
      </c>
      <c r="M32" s="48">
        <v>245.68790000000001</v>
      </c>
      <c r="N32" s="48">
        <v>265.8306</v>
      </c>
      <c r="O32" s="134">
        <v>2576.9</v>
      </c>
    </row>
    <row r="33" spans="2:16" ht="14" customHeight="1" x14ac:dyDescent="0.25">
      <c r="B33" s="47">
        <v>2020</v>
      </c>
      <c r="C33" s="48">
        <v>192.7201</v>
      </c>
      <c r="D33" s="48">
        <v>30.994199999999999</v>
      </c>
      <c r="E33" s="48">
        <v>143.02170000000001</v>
      </c>
      <c r="F33" s="48">
        <v>206.99619999999999</v>
      </c>
      <c r="G33" s="48">
        <v>219.358</v>
      </c>
      <c r="H33" s="48">
        <v>229.96960000000001</v>
      </c>
      <c r="I33" s="48">
        <v>211.18029999999999</v>
      </c>
      <c r="J33" s="48">
        <v>218.5812</v>
      </c>
      <c r="K33" s="48">
        <v>256.52010000000001</v>
      </c>
      <c r="L33" s="48">
        <v>257.32279999999997</v>
      </c>
      <c r="M33" s="48">
        <v>276.96660000000003</v>
      </c>
      <c r="N33" s="48">
        <v>283.12450000000001</v>
      </c>
      <c r="O33" s="134">
        <v>2531.1</v>
      </c>
    </row>
    <row r="34" spans="2:16" ht="14" customHeight="1" x14ac:dyDescent="0.25">
      <c r="B34" s="47">
        <v>2021</v>
      </c>
      <c r="C34" s="48">
        <v>250.3168</v>
      </c>
      <c r="D34" s="48">
        <v>145.48060000000001</v>
      </c>
      <c r="E34" s="48">
        <v>252.56909999999999</v>
      </c>
      <c r="F34" s="48">
        <v>225.17920000000001</v>
      </c>
      <c r="G34" s="48">
        <v>212.77209999999999</v>
      </c>
      <c r="H34" s="48">
        <v>201.5309</v>
      </c>
      <c r="I34" s="48">
        <v>186.35499999999999</v>
      </c>
      <c r="J34" s="48">
        <v>179.88409999999999</v>
      </c>
      <c r="K34" s="48">
        <v>206.7099</v>
      </c>
      <c r="L34" s="48">
        <v>233.2801</v>
      </c>
      <c r="M34" s="48">
        <v>252.1591</v>
      </c>
      <c r="N34" s="48">
        <v>278.59179999999998</v>
      </c>
      <c r="O34" s="134">
        <v>2627.5</v>
      </c>
    </row>
    <row r="35" spans="2:16" ht="14" customHeight="1" x14ac:dyDescent="0.25">
      <c r="B35" s="47">
        <v>2022</v>
      </c>
      <c r="C35" s="48">
        <v>253.05840000000001</v>
      </c>
      <c r="D35" s="48">
        <v>173.72989999999999</v>
      </c>
      <c r="E35" s="48">
        <v>223.3912</v>
      </c>
      <c r="F35" s="48">
        <v>118.0903</v>
      </c>
      <c r="G35" s="48">
        <v>186.19749999999999</v>
      </c>
      <c r="H35" s="48">
        <v>250.22929999999999</v>
      </c>
      <c r="I35" s="48">
        <v>242.00579999999999</v>
      </c>
      <c r="J35" s="48">
        <v>238.33539999999999</v>
      </c>
      <c r="K35" s="48">
        <v>261.03250000000003</v>
      </c>
      <c r="L35" s="48">
        <v>250.4683</v>
      </c>
      <c r="M35" s="48">
        <v>232.77209999999999</v>
      </c>
      <c r="N35" s="48">
        <v>255.6</v>
      </c>
      <c r="O35" s="134">
        <v>2686.4</v>
      </c>
    </row>
    <row r="36" spans="2:16" ht="14" customHeight="1" x14ac:dyDescent="0.25">
      <c r="B36" s="47">
        <v>2023</v>
      </c>
      <c r="C36" s="178">
        <v>164.89660000000001</v>
      </c>
      <c r="D36" s="48">
        <v>197.6</v>
      </c>
      <c r="E36" s="48">
        <v>245.1</v>
      </c>
      <c r="F36" s="48">
        <v>215.9</v>
      </c>
      <c r="G36" s="48">
        <v>238.2</v>
      </c>
      <c r="H36" s="48">
        <v>262.2</v>
      </c>
      <c r="I36" s="48">
        <v>238.7</v>
      </c>
      <c r="J36" s="48">
        <v>258.2</v>
      </c>
      <c r="K36" s="48">
        <v>285.8</v>
      </c>
      <c r="L36" s="48">
        <v>285.3</v>
      </c>
      <c r="M36" s="48">
        <v>297</v>
      </c>
      <c r="N36" s="48">
        <v>315.60000000000002</v>
      </c>
      <c r="O36" s="134">
        <v>3009.4</v>
      </c>
      <c r="P36" s="179"/>
    </row>
    <row r="37" spans="2:16" ht="14" customHeight="1" x14ac:dyDescent="0.25">
      <c r="B37" s="47">
        <v>2024</v>
      </c>
      <c r="C37" s="178">
        <v>243.9</v>
      </c>
      <c r="D37" s="48">
        <v>158.4</v>
      </c>
      <c r="E37" s="48">
        <v>269.39999999999998</v>
      </c>
      <c r="F37" s="48">
        <v>235.9</v>
      </c>
      <c r="G37" s="48">
        <v>241.7</v>
      </c>
      <c r="H37" s="48">
        <v>255.2</v>
      </c>
      <c r="I37" s="48">
        <v>226.2</v>
      </c>
      <c r="J37" s="48">
        <v>245.3</v>
      </c>
      <c r="K37" s="48">
        <v>280.89999999999998</v>
      </c>
      <c r="L37" s="48">
        <v>305.3</v>
      </c>
      <c r="M37" s="48">
        <v>331.6</v>
      </c>
      <c r="N37" s="48">
        <v>348.9</v>
      </c>
      <c r="O37" s="134">
        <v>3143.6</v>
      </c>
      <c r="P37" s="179"/>
    </row>
    <row r="38" spans="2:16" ht="14" customHeight="1" x14ac:dyDescent="0.25">
      <c r="B38" s="47">
        <v>2025</v>
      </c>
      <c r="C38" s="178">
        <v>242.3</v>
      </c>
      <c r="D38" s="48">
        <v>212.9</v>
      </c>
      <c r="E38" s="48">
        <v>291.5</v>
      </c>
      <c r="F38" s="48">
        <v>259</v>
      </c>
      <c r="G38" s="48">
        <v>268.60000000000002</v>
      </c>
      <c r="H38" s="48">
        <v>290.39999999999998</v>
      </c>
      <c r="I38" s="48">
        <v>259.3</v>
      </c>
      <c r="J38" s="48">
        <v>285.7</v>
      </c>
      <c r="K38" s="48">
        <v>322.60000000000002</v>
      </c>
      <c r="L38" s="48">
        <v>332.2</v>
      </c>
      <c r="M38" s="48">
        <v>342.9</v>
      </c>
      <c r="N38" s="48">
        <v>327.2</v>
      </c>
      <c r="O38" s="134">
        <v>3440</v>
      </c>
    </row>
    <row r="39" spans="2:16" ht="14" customHeight="1" x14ac:dyDescent="0.25">
      <c r="B39" s="176" t="s">
        <v>118</v>
      </c>
      <c r="C39" s="177">
        <f t="shared" ref="C39:O39" si="8">C38/C37-1</f>
        <v>-6.5600656006560287E-3</v>
      </c>
      <c r="D39" s="177">
        <f t="shared" si="8"/>
        <v>0.34406565656565657</v>
      </c>
      <c r="E39" s="177">
        <f t="shared" si="8"/>
        <v>8.2034149962880498E-2</v>
      </c>
      <c r="F39" s="177">
        <f t="shared" si="8"/>
        <v>9.7922848664688367E-2</v>
      </c>
      <c r="G39" s="177">
        <f t="shared" si="8"/>
        <v>0.11129499379395957</v>
      </c>
      <c r="H39" s="177">
        <f t="shared" si="8"/>
        <v>0.13793103448275867</v>
      </c>
      <c r="I39" s="177">
        <f t="shared" si="8"/>
        <v>0.14633068081343947</v>
      </c>
      <c r="J39" s="177">
        <f t="shared" si="8"/>
        <v>0.1646962902568283</v>
      </c>
      <c r="K39" s="177">
        <f t="shared" si="8"/>
        <v>0.14845140619437536</v>
      </c>
      <c r="L39" s="177">
        <f t="shared" si="8"/>
        <v>8.811005568293484E-2</v>
      </c>
      <c r="M39" s="177">
        <f t="shared" si="8"/>
        <v>3.4077201447527017E-2</v>
      </c>
      <c r="N39" s="177">
        <f t="shared" si="8"/>
        <v>-6.2195471481799935E-2</v>
      </c>
      <c r="O39" s="177">
        <f t="shared" si="8"/>
        <v>9.4286804937014912E-2</v>
      </c>
    </row>
    <row r="40" spans="2:16" ht="14" customHeight="1" x14ac:dyDescent="0.25">
      <c r="B40" s="176" t="s">
        <v>48</v>
      </c>
      <c r="C40" s="177">
        <f>C38/N37-1</f>
        <v>-0.30553167096589273</v>
      </c>
      <c r="D40" s="177">
        <f t="shared" ref="D40:N40" si="9">D38/C38-1</f>
        <v>-0.12133718530747006</v>
      </c>
      <c r="E40" s="177">
        <f t="shared" si="9"/>
        <v>0.36918741193048366</v>
      </c>
      <c r="F40" s="177">
        <f t="shared" si="9"/>
        <v>-0.111492281303602</v>
      </c>
      <c r="G40" s="177">
        <f t="shared" si="9"/>
        <v>3.7065637065637258E-2</v>
      </c>
      <c r="H40" s="177">
        <f t="shared" si="9"/>
        <v>8.116157855547268E-2</v>
      </c>
      <c r="I40" s="177">
        <f t="shared" si="9"/>
        <v>-0.1070936639118456</v>
      </c>
      <c r="J40" s="177">
        <f t="shared" si="9"/>
        <v>0.10181257231006557</v>
      </c>
      <c r="K40" s="177">
        <f t="shared" si="9"/>
        <v>0.1291564578228912</v>
      </c>
      <c r="L40" s="177">
        <f t="shared" si="9"/>
        <v>2.9758214507129566E-2</v>
      </c>
      <c r="M40" s="177">
        <f t="shared" si="9"/>
        <v>3.2209512341962565E-2</v>
      </c>
      <c r="N40" s="177">
        <f t="shared" si="9"/>
        <v>-4.5785943423738651E-2</v>
      </c>
      <c r="O40" s="137"/>
    </row>
    <row r="41" spans="2:16" ht="14" customHeight="1" x14ac:dyDescent="0.25">
      <c r="B41" s="47">
        <v>2026</v>
      </c>
      <c r="C41" s="48">
        <v>234.6</v>
      </c>
      <c r="D41" s="48">
        <v>180.5</v>
      </c>
      <c r="E41" s="48">
        <v>289.89999999999998</v>
      </c>
      <c r="F41" s="48">
        <v>252.6</v>
      </c>
      <c r="G41" s="48">
        <v>262.89999999999998</v>
      </c>
      <c r="H41" s="48"/>
      <c r="I41" s="48"/>
      <c r="J41" s="134"/>
      <c r="K41" s="134"/>
      <c r="L41" s="134"/>
      <c r="M41" s="134"/>
      <c r="N41" s="134"/>
      <c r="O41" s="134"/>
      <c r="P41" s="136"/>
    </row>
    <row r="42" spans="2:16" ht="14" customHeight="1" x14ac:dyDescent="0.25">
      <c r="B42" s="176" t="s">
        <v>118</v>
      </c>
      <c r="C42" s="167">
        <f>C41/C38-1</f>
        <v>-3.1778786628147038E-2</v>
      </c>
      <c r="D42" s="167">
        <f>D41/D38-1</f>
        <v>-0.15218412400187886</v>
      </c>
      <c r="E42" s="167">
        <f>E41/E38-1</f>
        <v>-5.4888507718696689E-3</v>
      </c>
      <c r="F42" s="167">
        <f>F41/F38-1</f>
        <v>-2.4710424710424728E-2</v>
      </c>
      <c r="G42" s="167">
        <f>G41/G38-1</f>
        <v>-2.1221146686522863E-2</v>
      </c>
      <c r="H42" s="167"/>
      <c r="I42" s="167"/>
      <c r="J42" s="167"/>
      <c r="K42" s="167"/>
      <c r="L42" s="167"/>
      <c r="M42" s="167"/>
      <c r="N42" s="167"/>
      <c r="O42" s="167"/>
    </row>
    <row r="43" spans="2:16" ht="14" customHeight="1" x14ac:dyDescent="0.25">
      <c r="B43" s="176" t="s">
        <v>48</v>
      </c>
      <c r="C43" s="177">
        <f>C41/N38-1</f>
        <v>-0.2830073349633252</v>
      </c>
      <c r="D43" s="167">
        <f>D41/C41-1</f>
        <v>-0.23060528559249782</v>
      </c>
      <c r="E43" s="167">
        <f>E41/D41-1</f>
        <v>0.60609418282548466</v>
      </c>
      <c r="F43" s="167">
        <f>F41/E41-1</f>
        <v>-0.12866505691617791</v>
      </c>
      <c r="G43" s="167">
        <f>G41/F41-1</f>
        <v>4.0775930324623788E-2</v>
      </c>
      <c r="H43" s="167"/>
      <c r="I43" s="167"/>
      <c r="J43" s="167"/>
      <c r="K43" s="167"/>
      <c r="L43" s="167"/>
      <c r="M43" s="167"/>
      <c r="N43" s="167"/>
      <c r="O43" s="137"/>
    </row>
    <row r="44" spans="2:16" ht="14" customHeight="1" x14ac:dyDescent="0.25"/>
    <row r="45" spans="2:16" ht="14" customHeight="1" x14ac:dyDescent="0.25">
      <c r="B45" s="133" t="s">
        <v>176</v>
      </c>
      <c r="C45" s="133" t="s">
        <v>49</v>
      </c>
      <c r="D45" s="133" t="s">
        <v>50</v>
      </c>
      <c r="E45" s="133" t="s">
        <v>51</v>
      </c>
      <c r="F45" s="133" t="s">
        <v>52</v>
      </c>
      <c r="G45" s="133" t="s">
        <v>53</v>
      </c>
      <c r="H45" s="133" t="s">
        <v>54</v>
      </c>
      <c r="I45" s="133" t="s">
        <v>55</v>
      </c>
      <c r="J45" s="133" t="s">
        <v>56</v>
      </c>
      <c r="K45" s="133" t="s">
        <v>57</v>
      </c>
      <c r="L45" s="133" t="s">
        <v>58</v>
      </c>
      <c r="M45" s="133" t="s">
        <v>59</v>
      </c>
      <c r="N45" s="133" t="s">
        <v>60</v>
      </c>
      <c r="O45" s="133" t="s">
        <v>38</v>
      </c>
    </row>
    <row r="46" spans="2:16" ht="14" customHeight="1" x14ac:dyDescent="0.25">
      <c r="B46" s="47">
        <v>2018</v>
      </c>
      <c r="C46" s="180">
        <f t="shared" ref="C46:O46" si="10">C16/C31</f>
        <v>1.3694236566779781E-2</v>
      </c>
      <c r="D46" s="180">
        <f t="shared" si="10"/>
        <v>2.003955512420507E-2</v>
      </c>
      <c r="E46" s="180">
        <f t="shared" si="10"/>
        <v>2.5516337074057913E-2</v>
      </c>
      <c r="F46" s="180">
        <f t="shared" si="10"/>
        <v>3.5325496258009313E-2</v>
      </c>
      <c r="G46" s="180">
        <f t="shared" si="10"/>
        <v>4.4586148744637635E-2</v>
      </c>
      <c r="H46" s="180">
        <f t="shared" si="10"/>
        <v>3.6944691597589625E-2</v>
      </c>
      <c r="I46" s="180">
        <f t="shared" si="10"/>
        <v>4.4465265481455608E-2</v>
      </c>
      <c r="J46" s="180">
        <f t="shared" si="10"/>
        <v>4.8018431470804555E-2</v>
      </c>
      <c r="K46" s="180">
        <f t="shared" si="10"/>
        <v>5.0541715293923047E-2</v>
      </c>
      <c r="L46" s="180">
        <f t="shared" si="10"/>
        <v>5.798009938125151E-2</v>
      </c>
      <c r="M46" s="180">
        <f t="shared" si="10"/>
        <v>6.6331242525469819E-2</v>
      </c>
      <c r="N46" s="180">
        <f t="shared" si="10"/>
        <v>8.4539905653465294E-2</v>
      </c>
      <c r="O46" s="180">
        <f t="shared" si="10"/>
        <v>4.4728388994537155E-2</v>
      </c>
    </row>
    <row r="47" spans="2:16" ht="14" customHeight="1" x14ac:dyDescent="0.25">
      <c r="B47" s="47">
        <v>2019</v>
      </c>
      <c r="C47" s="180">
        <f t="shared" ref="C47:O47" si="11">C17/C32</f>
        <v>4.0552905066494088E-2</v>
      </c>
      <c r="D47" s="180">
        <f t="shared" si="11"/>
        <v>3.5772089940483337E-2</v>
      </c>
      <c r="E47" s="180">
        <f t="shared" si="11"/>
        <v>4.9999742064822682E-2</v>
      </c>
      <c r="F47" s="180">
        <f t="shared" si="11"/>
        <v>4.8977605116291512E-2</v>
      </c>
      <c r="G47" s="180">
        <f t="shared" si="11"/>
        <v>5.4377236852080853E-2</v>
      </c>
      <c r="H47" s="180">
        <f t="shared" si="11"/>
        <v>7.3913927231738633E-2</v>
      </c>
      <c r="I47" s="180">
        <f t="shared" si="11"/>
        <v>4.4236239211887164E-2</v>
      </c>
      <c r="J47" s="180">
        <f t="shared" si="11"/>
        <v>4.3421135978651104E-2</v>
      </c>
      <c r="K47" s="180">
        <f t="shared" si="11"/>
        <v>3.523170571660849E-2</v>
      </c>
      <c r="L47" s="180">
        <f t="shared" si="11"/>
        <v>3.2834683933332456E-2</v>
      </c>
      <c r="M47" s="180">
        <f t="shared" si="11"/>
        <v>3.8666942897879787E-2</v>
      </c>
      <c r="N47" s="180">
        <f t="shared" si="11"/>
        <v>6.1317244892047797E-2</v>
      </c>
      <c r="O47" s="180">
        <f t="shared" si="11"/>
        <v>4.6800419108230816E-2</v>
      </c>
    </row>
    <row r="48" spans="2:16" ht="14" customHeight="1" x14ac:dyDescent="0.25">
      <c r="B48" s="47">
        <v>2020</v>
      </c>
      <c r="C48" s="180">
        <f t="shared" ref="C48:O48" si="12">C18/C33</f>
        <v>2.2831038381569958E-2</v>
      </c>
      <c r="D48" s="180">
        <f t="shared" si="12"/>
        <v>4.1646501603525822E-2</v>
      </c>
      <c r="E48" s="180">
        <f t="shared" si="12"/>
        <v>3.7057313680371573E-2</v>
      </c>
      <c r="F48" s="180">
        <f t="shared" si="12"/>
        <v>3.4783247228693089E-2</v>
      </c>
      <c r="G48" s="180">
        <f t="shared" si="12"/>
        <v>3.738181420326589E-2</v>
      </c>
      <c r="H48" s="180">
        <f t="shared" si="12"/>
        <v>4.5223368653943823E-2</v>
      </c>
      <c r="I48" s="180">
        <f t="shared" si="12"/>
        <v>4.6405843726900667E-2</v>
      </c>
      <c r="J48" s="180">
        <f t="shared" si="12"/>
        <v>4.9867051695205264E-2</v>
      </c>
      <c r="K48" s="180">
        <f t="shared" si="12"/>
        <v>5.3796953922908966E-2</v>
      </c>
      <c r="L48" s="180">
        <f t="shared" si="12"/>
        <v>6.2178710942054113E-2</v>
      </c>
      <c r="M48" s="180">
        <f t="shared" si="12"/>
        <v>7.2210873080003138E-2</v>
      </c>
      <c r="N48" s="180">
        <f t="shared" si="12"/>
        <v>8.7593973675891695E-2</v>
      </c>
      <c r="O48" s="180">
        <f t="shared" si="12"/>
        <v>5.4008138753901466E-2</v>
      </c>
    </row>
    <row r="49" spans="2:23" ht="14" customHeight="1" x14ac:dyDescent="0.25">
      <c r="B49" s="47">
        <v>2021</v>
      </c>
      <c r="C49" s="180">
        <f t="shared" ref="C49:O49" si="13">C19/C34</f>
        <v>7.1509383309470237E-2</v>
      </c>
      <c r="D49" s="180">
        <f t="shared" si="13"/>
        <v>7.5611456097926452E-2</v>
      </c>
      <c r="E49" s="180">
        <f t="shared" si="13"/>
        <v>8.9480462970331687E-2</v>
      </c>
      <c r="F49" s="180">
        <f t="shared" si="13"/>
        <v>9.1482694671621539E-2</v>
      </c>
      <c r="G49" s="180">
        <f t="shared" si="13"/>
        <v>0.10198705563370386</v>
      </c>
      <c r="H49" s="180">
        <f t="shared" si="13"/>
        <v>0.12702766672505308</v>
      </c>
      <c r="I49" s="180">
        <f t="shared" si="13"/>
        <v>0.14542137318558668</v>
      </c>
      <c r="J49" s="180">
        <f t="shared" si="13"/>
        <v>0.17844823416855632</v>
      </c>
      <c r="K49" s="180">
        <f t="shared" si="13"/>
        <v>0.17270580654337311</v>
      </c>
      <c r="L49" s="180">
        <f t="shared" si="13"/>
        <v>0.16418031370871325</v>
      </c>
      <c r="M49" s="180">
        <f t="shared" si="13"/>
        <v>0.17845875877570946</v>
      </c>
      <c r="N49" s="180">
        <f t="shared" si="13"/>
        <v>0.1906014462737238</v>
      </c>
      <c r="O49" s="180">
        <f t="shared" si="13"/>
        <v>0.13400570884871552</v>
      </c>
    </row>
    <row r="50" spans="2:23" ht="14" customHeight="1" x14ac:dyDescent="0.25">
      <c r="B50" s="47">
        <v>2022</v>
      </c>
      <c r="C50" s="180">
        <f t="shared" ref="C50:O50" si="14">C20/C35</f>
        <v>0.17031641708001</v>
      </c>
      <c r="D50" s="180">
        <f t="shared" si="14"/>
        <v>0.19225245625537113</v>
      </c>
      <c r="E50" s="180">
        <f t="shared" si="14"/>
        <v>0.2166602802617113</v>
      </c>
      <c r="F50" s="180">
        <f t="shared" si="14"/>
        <v>0.2531960711421683</v>
      </c>
      <c r="G50" s="180">
        <f t="shared" si="14"/>
        <v>0.24006767008149951</v>
      </c>
      <c r="H50" s="180">
        <f t="shared" si="14"/>
        <v>0.23818153989161142</v>
      </c>
      <c r="I50" s="180">
        <f t="shared" si="14"/>
        <v>0.24503544956360548</v>
      </c>
      <c r="J50" s="180">
        <f t="shared" si="14"/>
        <v>0.27943813634063591</v>
      </c>
      <c r="K50" s="180">
        <f t="shared" si="14"/>
        <v>0.27123059389156517</v>
      </c>
      <c r="L50" s="180">
        <f t="shared" si="14"/>
        <v>0.28506601434193474</v>
      </c>
      <c r="M50" s="180">
        <f t="shared" si="14"/>
        <v>0.337669334082564</v>
      </c>
      <c r="N50" s="180">
        <f t="shared" si="14"/>
        <v>0.31846635367762133</v>
      </c>
      <c r="O50" s="180">
        <f t="shared" si="14"/>
        <v>0.25636539606908876</v>
      </c>
    </row>
    <row r="51" spans="2:23" ht="14" customHeight="1" x14ac:dyDescent="0.25">
      <c r="B51" s="47">
        <v>2023</v>
      </c>
      <c r="C51" s="180">
        <f>C21/C36</f>
        <v>0.247427782016124</v>
      </c>
      <c r="D51" s="181">
        <v>0.27</v>
      </c>
      <c r="E51" s="181">
        <v>0.27</v>
      </c>
      <c r="F51" s="180">
        <f t="shared" ref="F51:J53" si="15">F21/F36</f>
        <v>0.29458082445576655</v>
      </c>
      <c r="G51" s="180">
        <f t="shared" si="15"/>
        <v>0.30100755667506301</v>
      </c>
      <c r="H51" s="180">
        <f t="shared" si="15"/>
        <v>0.30739893211289093</v>
      </c>
      <c r="I51" s="180">
        <f t="shared" si="15"/>
        <v>0.32677000418935903</v>
      </c>
      <c r="J51" s="180">
        <f t="shared" si="15"/>
        <v>0.32765298218435318</v>
      </c>
      <c r="K51" s="180">
        <v>0.316</v>
      </c>
      <c r="L51" s="180">
        <v>0.33500000000000002</v>
      </c>
      <c r="M51" s="180">
        <v>0.34499999999999997</v>
      </c>
      <c r="N51" s="180">
        <f t="shared" ref="N51:O53" si="16">N21/N36</f>
        <v>0.37737642585551329</v>
      </c>
      <c r="O51" s="180">
        <f t="shared" si="16"/>
        <v>0.31551139762078817</v>
      </c>
    </row>
    <row r="52" spans="2:23" ht="14" customHeight="1" x14ac:dyDescent="0.25">
      <c r="B52" s="47">
        <v>2024</v>
      </c>
      <c r="C52" s="180">
        <f>C22/C37</f>
        <v>0.2988929889298893</v>
      </c>
      <c r="D52" s="180">
        <f>D22/D37</f>
        <v>0.30113636363636365</v>
      </c>
      <c r="E52" s="180">
        <f>E22/E37</f>
        <v>0.32776540460282111</v>
      </c>
      <c r="F52" s="180">
        <f t="shared" si="15"/>
        <v>0.36032217041119119</v>
      </c>
      <c r="G52" s="180">
        <f t="shared" si="15"/>
        <v>0.3951179147703765</v>
      </c>
      <c r="H52" s="180">
        <f t="shared" si="15"/>
        <v>0.41105015673981193</v>
      </c>
      <c r="I52" s="180">
        <f t="shared" si="15"/>
        <v>0.43810786914235189</v>
      </c>
      <c r="J52" s="180">
        <f t="shared" si="15"/>
        <v>0.44843049327354256</v>
      </c>
      <c r="K52" s="180">
        <f t="shared" ref="K52:M53" si="17">K22/K37</f>
        <v>0.45817016731933075</v>
      </c>
      <c r="L52" s="180">
        <f t="shared" si="17"/>
        <v>0.46839174582377985</v>
      </c>
      <c r="M52" s="180">
        <f t="shared" si="17"/>
        <v>0.45597104945717726</v>
      </c>
      <c r="N52" s="180">
        <f t="shared" si="16"/>
        <v>0.45743766122098023</v>
      </c>
      <c r="O52" s="180">
        <f t="shared" si="16"/>
        <v>0.40927598931161724</v>
      </c>
    </row>
    <row r="53" spans="2:23" ht="14" customHeight="1" x14ac:dyDescent="0.25">
      <c r="B53" s="47">
        <v>2025</v>
      </c>
      <c r="C53" s="180">
        <f>C23/C38</f>
        <v>0.38959966983078831</v>
      </c>
      <c r="D53" s="180">
        <f>D23/D38</f>
        <v>0.41897604509159231</v>
      </c>
      <c r="E53" s="180">
        <f>E23/E38</f>
        <v>0.42435677530017152</v>
      </c>
      <c r="F53" s="180">
        <f t="shared" si="15"/>
        <v>0.47335907335907335</v>
      </c>
      <c r="G53" s="180">
        <f t="shared" si="15"/>
        <v>0.48659717051377505</v>
      </c>
      <c r="H53" s="180">
        <f t="shared" si="15"/>
        <v>0.45764462809917361</v>
      </c>
      <c r="I53" s="180">
        <f t="shared" si="15"/>
        <v>0.48669494793675278</v>
      </c>
      <c r="J53" s="180">
        <f t="shared" si="15"/>
        <v>0.48827441372068603</v>
      </c>
      <c r="K53" s="180">
        <f t="shared" si="17"/>
        <v>0.4972101673899566</v>
      </c>
      <c r="L53" s="180">
        <f t="shared" si="17"/>
        <v>0.51625526791089704</v>
      </c>
      <c r="M53" s="180">
        <f t="shared" si="17"/>
        <v>0.53164187809857111</v>
      </c>
      <c r="N53" s="180">
        <f t="shared" si="16"/>
        <v>0.52292176039119809</v>
      </c>
      <c r="O53" s="180">
        <f t="shared" si="16"/>
        <v>0.47938953488372088</v>
      </c>
    </row>
    <row r="54" spans="2:23" ht="14" customHeight="1" x14ac:dyDescent="0.25">
      <c r="B54" s="47">
        <v>2026</v>
      </c>
      <c r="C54" s="180">
        <f>C26/C41</f>
        <v>0.40281329923273657</v>
      </c>
      <c r="D54" s="180">
        <f>D26/D41</f>
        <v>0.42382271468144045</v>
      </c>
      <c r="E54" s="180">
        <f>E26/E41</f>
        <v>0.43187305967575029</v>
      </c>
      <c r="F54" s="180">
        <f>F26/F41</f>
        <v>0.53206650831353919</v>
      </c>
      <c r="G54" s="180">
        <f>G26/G41</f>
        <v>0.56903765690376573</v>
      </c>
      <c r="H54" s="180"/>
      <c r="I54" s="180"/>
      <c r="J54" s="180"/>
      <c r="K54" s="180"/>
      <c r="L54" s="180"/>
      <c r="M54" s="180"/>
      <c r="N54" s="180"/>
      <c r="O54" s="180"/>
    </row>
    <row r="55" spans="2:23" ht="14" customHeight="1" x14ac:dyDescent="0.25"/>
    <row r="56" spans="2:23" ht="14" customHeight="1" x14ac:dyDescent="0.25"/>
    <row r="57" spans="2:23" ht="14" customHeight="1" x14ac:dyDescent="0.25">
      <c r="U57" s="182"/>
      <c r="V57" s="183"/>
      <c r="W57" s="183"/>
    </row>
    <row r="58" spans="2:23" ht="14" customHeight="1" x14ac:dyDescent="0.25">
      <c r="C58" s="184"/>
      <c r="D58" s="184"/>
      <c r="E58" s="184"/>
      <c r="F58" s="184"/>
      <c r="G58" s="184"/>
      <c r="H58" s="184"/>
      <c r="T58" s="183"/>
      <c r="U58" s="182"/>
      <c r="V58" s="183"/>
      <c r="W58" s="183"/>
    </row>
    <row r="59" spans="2:23" ht="14" customHeight="1" x14ac:dyDescent="0.25">
      <c r="C59" s="184"/>
      <c r="D59" s="184"/>
      <c r="E59" s="184"/>
      <c r="F59" s="184"/>
      <c r="G59" s="184"/>
      <c r="T59" s="183"/>
      <c r="U59" s="182"/>
      <c r="V59" s="183"/>
      <c r="W59" s="183"/>
    </row>
    <row r="60" spans="2:23" ht="14" customHeight="1" x14ac:dyDescent="0.25">
      <c r="C60" s="184"/>
      <c r="D60" s="184"/>
      <c r="E60" s="184"/>
      <c r="F60" s="184"/>
      <c r="G60" s="184"/>
      <c r="J60" s="185"/>
      <c r="T60" s="183"/>
      <c r="U60" s="182"/>
      <c r="V60" s="183"/>
      <c r="W60" s="183"/>
    </row>
    <row r="61" spans="2:23" ht="14" customHeight="1" x14ac:dyDescent="0.25">
      <c r="C61" s="184"/>
      <c r="D61" s="184"/>
      <c r="E61" s="184"/>
      <c r="F61" s="184"/>
      <c r="G61" s="184"/>
      <c r="J61" s="185"/>
      <c r="T61" s="183"/>
      <c r="U61" s="182"/>
      <c r="V61" s="183"/>
      <c r="W61" s="183"/>
    </row>
    <row r="62" spans="2:23" ht="14" customHeight="1" x14ac:dyDescent="0.25">
      <c r="C62" s="184"/>
      <c r="D62" s="184"/>
      <c r="E62" s="184"/>
      <c r="F62" s="184"/>
      <c r="G62" s="184"/>
      <c r="J62" s="185"/>
      <c r="T62" s="183"/>
      <c r="U62" s="182"/>
      <c r="V62" s="183"/>
      <c r="W62" s="183"/>
    </row>
    <row r="63" spans="2:23" ht="14" customHeight="1" x14ac:dyDescent="0.25">
      <c r="C63" s="184"/>
      <c r="D63" s="184"/>
      <c r="E63" s="184"/>
      <c r="F63" s="186"/>
      <c r="G63" s="184"/>
      <c r="J63" s="185"/>
      <c r="T63" s="183"/>
      <c r="U63" s="182"/>
      <c r="V63" s="183"/>
      <c r="W63" s="183"/>
    </row>
    <row r="64" spans="2:23" ht="14" customHeight="1" x14ac:dyDescent="0.25">
      <c r="C64" s="184"/>
      <c r="D64" s="184"/>
      <c r="E64" s="184"/>
      <c r="F64" s="184"/>
      <c r="G64" s="184"/>
      <c r="J64" s="185"/>
      <c r="T64" s="183"/>
      <c r="U64" s="182"/>
      <c r="V64" s="183"/>
      <c r="W64" s="183"/>
    </row>
    <row r="65" spans="3:28" ht="14" customHeight="1" x14ac:dyDescent="0.25">
      <c r="C65" s="184"/>
      <c r="D65" s="184"/>
      <c r="E65" s="184"/>
      <c r="F65" s="184"/>
      <c r="G65" s="184"/>
      <c r="J65" s="185"/>
      <c r="T65" s="183"/>
      <c r="U65" s="182"/>
      <c r="V65" s="183"/>
      <c r="W65" s="183"/>
    </row>
    <row r="66" spans="3:28" ht="14" customHeight="1" x14ac:dyDescent="0.25">
      <c r="C66" s="184"/>
      <c r="D66" s="184"/>
      <c r="E66" s="184"/>
      <c r="F66" s="184"/>
      <c r="G66" s="184"/>
      <c r="H66" s="187"/>
      <c r="J66" s="185"/>
      <c r="T66" s="183"/>
    </row>
    <row r="67" spans="3:28" ht="14" customHeight="1" x14ac:dyDescent="0.25">
      <c r="C67" s="184"/>
      <c r="D67" s="184"/>
      <c r="E67" s="184"/>
      <c r="F67" s="184"/>
      <c r="G67" s="184"/>
      <c r="H67" s="187"/>
      <c r="J67" s="185"/>
    </row>
    <row r="68" spans="3:28" ht="14" customHeight="1" x14ac:dyDescent="0.25">
      <c r="C68" s="184"/>
      <c r="D68" s="184"/>
      <c r="E68" s="184"/>
      <c r="F68" s="184"/>
      <c r="G68" s="184"/>
      <c r="H68" s="187"/>
      <c r="J68" s="185"/>
    </row>
    <row r="69" spans="3:28" ht="14" customHeight="1" x14ac:dyDescent="0.25">
      <c r="C69" s="184"/>
      <c r="D69" s="184"/>
      <c r="E69" s="184"/>
      <c r="F69" s="184"/>
      <c r="G69" s="184"/>
      <c r="H69" s="187"/>
      <c r="J69" s="185"/>
    </row>
    <row r="70" spans="3:28" ht="14" customHeight="1" x14ac:dyDescent="0.25">
      <c r="C70" s="188"/>
      <c r="D70" s="188"/>
      <c r="E70" s="188"/>
      <c r="F70" s="188"/>
      <c r="G70" s="188"/>
      <c r="H70" s="187"/>
      <c r="J70" s="185"/>
      <c r="Z70" s="189"/>
      <c r="AA70" s="189"/>
      <c r="AB70" s="189"/>
    </row>
    <row r="71" spans="3:28" ht="14" customHeight="1" x14ac:dyDescent="0.25">
      <c r="F71" s="184"/>
      <c r="G71" s="184"/>
      <c r="H71" s="187"/>
      <c r="J71" s="185"/>
    </row>
    <row r="72" spans="3:28" ht="14" customHeight="1" x14ac:dyDescent="0.25">
      <c r="F72" s="184"/>
      <c r="G72" s="184"/>
      <c r="H72" s="187"/>
      <c r="J72" s="185"/>
    </row>
    <row r="73" spans="3:28" ht="14" customHeight="1" x14ac:dyDescent="0.25">
      <c r="F73" s="184"/>
      <c r="G73" s="184"/>
      <c r="H73" s="187"/>
      <c r="J73" s="185"/>
    </row>
    <row r="74" spans="3:28" ht="14" customHeight="1" x14ac:dyDescent="0.25">
      <c r="H74" s="187"/>
      <c r="J74" s="185"/>
    </row>
    <row r="75" spans="3:28" ht="14" customHeight="1" x14ac:dyDescent="0.25">
      <c r="H75" s="190"/>
      <c r="J75" s="185"/>
    </row>
    <row r="76" spans="3:28" ht="14" customHeight="1" x14ac:dyDescent="0.25">
      <c r="C76" s="184"/>
      <c r="D76" s="184"/>
      <c r="E76" s="184"/>
      <c r="F76" s="184"/>
      <c r="G76" s="184"/>
      <c r="H76" s="186"/>
      <c r="J76" s="185"/>
    </row>
    <row r="77" spans="3:28" ht="14" customHeight="1" x14ac:dyDescent="0.25">
      <c r="C77" s="184"/>
      <c r="D77" s="184"/>
      <c r="E77" s="184"/>
      <c r="F77" s="184"/>
      <c r="G77" s="184"/>
      <c r="H77" s="187"/>
      <c r="J77" s="185"/>
    </row>
    <row r="78" spans="3:28" ht="14" customHeight="1" x14ac:dyDescent="0.25">
      <c r="C78" s="184"/>
      <c r="D78" s="184"/>
      <c r="E78" s="184"/>
      <c r="F78" s="184"/>
      <c r="G78" s="184"/>
      <c r="H78" s="187"/>
      <c r="J78" s="185"/>
    </row>
    <row r="79" spans="3:28" ht="14" customHeight="1" x14ac:dyDescent="0.25">
      <c r="C79" s="184"/>
      <c r="D79" s="184"/>
      <c r="E79" s="184"/>
      <c r="F79" s="184"/>
      <c r="G79" s="184"/>
      <c r="H79" s="187"/>
      <c r="J79" s="185"/>
    </row>
    <row r="80" spans="3:28" ht="14" customHeight="1" x14ac:dyDescent="0.25">
      <c r="C80" s="184"/>
      <c r="D80" s="184"/>
      <c r="E80" s="184"/>
      <c r="F80" s="184"/>
      <c r="G80" s="184"/>
      <c r="H80" s="187"/>
      <c r="J80" s="185"/>
    </row>
    <row r="81" spans="2:10" ht="14" customHeight="1" x14ac:dyDescent="0.25">
      <c r="C81" s="184"/>
      <c r="D81" s="184"/>
      <c r="E81" s="184"/>
      <c r="F81" s="186"/>
      <c r="G81" s="186"/>
      <c r="H81" s="187"/>
      <c r="J81" s="185"/>
    </row>
    <row r="82" spans="2:10" ht="14" customHeight="1" x14ac:dyDescent="0.25">
      <c r="C82" s="184"/>
      <c r="D82" s="184"/>
      <c r="E82" s="184"/>
      <c r="F82" s="184"/>
      <c r="G82" s="184"/>
      <c r="H82" s="187"/>
      <c r="J82" s="185"/>
    </row>
    <row r="83" spans="2:10" ht="14" customHeight="1" x14ac:dyDescent="0.25">
      <c r="C83" s="184"/>
      <c r="D83" s="184"/>
      <c r="E83" s="184"/>
      <c r="F83" s="184"/>
      <c r="G83" s="184"/>
      <c r="H83" s="187"/>
      <c r="J83" s="185"/>
    </row>
    <row r="84" spans="2:10" ht="14" customHeight="1" x14ac:dyDescent="0.25">
      <c r="C84" s="184"/>
      <c r="D84" s="184"/>
      <c r="E84" s="184"/>
      <c r="F84" s="184"/>
      <c r="G84" s="184"/>
      <c r="H84" s="187"/>
      <c r="J84" s="185"/>
    </row>
    <row r="85" spans="2:10" ht="14" customHeight="1" x14ac:dyDescent="0.25">
      <c r="C85" s="184"/>
      <c r="D85" s="184"/>
      <c r="E85" s="184"/>
      <c r="F85" s="184"/>
      <c r="G85" s="184"/>
      <c r="H85" s="187"/>
      <c r="J85" s="185"/>
    </row>
    <row r="86" spans="2:10" ht="14" customHeight="1" x14ac:dyDescent="0.25">
      <c r="C86" s="184"/>
      <c r="D86" s="184"/>
      <c r="E86" s="184"/>
      <c r="F86" s="184"/>
      <c r="G86" s="184"/>
      <c r="H86" s="187"/>
      <c r="J86" s="185"/>
    </row>
    <row r="87" spans="2:10" ht="14" customHeight="1" x14ac:dyDescent="0.25">
      <c r="C87" s="184"/>
      <c r="D87" s="184"/>
      <c r="E87" s="184"/>
      <c r="F87" s="184"/>
      <c r="G87" s="184"/>
      <c r="H87" s="187"/>
      <c r="J87" s="185"/>
    </row>
    <row r="88" spans="2:10" ht="14" customHeight="1" x14ac:dyDescent="0.25">
      <c r="F88" s="184"/>
      <c r="G88" s="184"/>
      <c r="H88" s="187"/>
      <c r="J88" s="185"/>
    </row>
    <row r="89" spans="2:10" ht="14" customHeight="1" x14ac:dyDescent="0.25"/>
    <row r="90" spans="2:10" ht="14" customHeight="1" x14ac:dyDescent="0.25"/>
    <row r="91" spans="2:10" ht="14" customHeight="1" x14ac:dyDescent="0.25"/>
    <row r="92" spans="2:10" ht="14" customHeight="1" x14ac:dyDescent="0.25">
      <c r="C92" s="139"/>
    </row>
    <row r="93" spans="2:10" ht="14" customHeight="1" x14ac:dyDescent="0.25">
      <c r="B93" s="191"/>
      <c r="C93" s="139"/>
      <c r="D93" s="139"/>
      <c r="E93" s="185"/>
      <c r="F93" s="185"/>
      <c r="G93" s="185"/>
      <c r="H93" s="185"/>
      <c r="I93" s="185"/>
    </row>
    <row r="94" spans="2:10" ht="14" customHeight="1" x14ac:dyDescent="0.25">
      <c r="B94" s="191"/>
      <c r="C94" s="139"/>
      <c r="D94" s="139"/>
      <c r="E94" s="185"/>
      <c r="F94" s="185"/>
      <c r="G94" s="185"/>
      <c r="H94" s="185"/>
      <c r="I94" s="185"/>
    </row>
    <row r="95" spans="2:10" ht="14" customHeight="1" x14ac:dyDescent="0.25">
      <c r="B95" s="191"/>
      <c r="C95" s="139"/>
      <c r="D95" s="139"/>
      <c r="E95" s="185"/>
      <c r="F95" s="185"/>
      <c r="G95" s="185"/>
      <c r="H95" s="185"/>
      <c r="I95" s="185"/>
    </row>
    <row r="96" spans="2:10" ht="14" customHeight="1" x14ac:dyDescent="0.25">
      <c r="B96" s="191"/>
      <c r="C96" s="139"/>
      <c r="D96" s="139"/>
      <c r="E96" s="185"/>
      <c r="F96" s="185"/>
      <c r="G96" s="185"/>
      <c r="H96" s="185"/>
      <c r="I96" s="185"/>
    </row>
    <row r="97" spans="2:9" ht="14" customHeight="1" x14ac:dyDescent="0.25">
      <c r="B97" s="191"/>
      <c r="C97" s="139"/>
      <c r="D97" s="139"/>
      <c r="E97" s="185"/>
      <c r="F97" s="185"/>
      <c r="G97" s="185"/>
      <c r="H97" s="185"/>
      <c r="I97" s="185"/>
    </row>
    <row r="98" spans="2:9" ht="14" customHeight="1" x14ac:dyDescent="0.25">
      <c r="B98" s="191"/>
      <c r="C98" s="139"/>
      <c r="D98" s="139"/>
      <c r="E98" s="185"/>
      <c r="F98" s="185"/>
      <c r="G98" s="185"/>
      <c r="H98" s="185"/>
      <c r="I98" s="185"/>
    </row>
    <row r="99" spans="2:9" ht="14" customHeight="1" x14ac:dyDescent="0.25">
      <c r="B99" s="191"/>
      <c r="C99" s="139"/>
      <c r="D99" s="139"/>
      <c r="E99" s="185"/>
      <c r="F99" s="185"/>
      <c r="G99" s="185"/>
      <c r="H99" s="185"/>
      <c r="I99" s="185"/>
    </row>
    <row r="100" spans="2:9" ht="14" customHeight="1" x14ac:dyDescent="0.25">
      <c r="B100" s="191"/>
      <c r="C100" s="139"/>
      <c r="D100" s="139"/>
      <c r="E100" s="185"/>
      <c r="F100" s="185"/>
      <c r="G100" s="185"/>
      <c r="H100" s="185"/>
      <c r="I100" s="185"/>
    </row>
    <row r="101" spans="2:9" ht="14" customHeight="1" x14ac:dyDescent="0.25">
      <c r="B101" s="191"/>
      <c r="C101" s="139"/>
      <c r="D101" s="139"/>
      <c r="E101" s="185"/>
      <c r="F101" s="185"/>
      <c r="G101" s="185"/>
      <c r="H101" s="185"/>
      <c r="I101" s="185"/>
    </row>
    <row r="102" spans="2:9" ht="14" customHeight="1" x14ac:dyDescent="0.25">
      <c r="B102" s="191"/>
      <c r="C102" s="139"/>
      <c r="D102" s="139"/>
      <c r="E102" s="185"/>
      <c r="F102" s="185"/>
      <c r="G102" s="185"/>
      <c r="H102" s="185"/>
      <c r="I102" s="185"/>
    </row>
    <row r="103" spans="2:9" ht="14" customHeight="1" x14ac:dyDescent="0.25">
      <c r="B103" s="191"/>
      <c r="C103" s="139"/>
      <c r="D103" s="139"/>
      <c r="E103" s="185"/>
      <c r="F103" s="185"/>
      <c r="G103" s="185"/>
      <c r="H103" s="185"/>
      <c r="I103" s="185"/>
    </row>
    <row r="104" spans="2:9" ht="14" customHeight="1" x14ac:dyDescent="0.25">
      <c r="B104" s="191"/>
      <c r="C104" s="139"/>
      <c r="D104" s="139"/>
      <c r="E104" s="185"/>
      <c r="F104" s="185"/>
      <c r="G104" s="185"/>
      <c r="H104" s="185"/>
      <c r="I104" s="185"/>
    </row>
    <row r="105" spans="2:9" ht="14" customHeight="1" x14ac:dyDescent="0.25">
      <c r="B105" s="191"/>
      <c r="C105" s="139"/>
      <c r="D105" s="139"/>
      <c r="E105" s="185"/>
      <c r="F105" s="185"/>
      <c r="G105" s="185"/>
      <c r="H105" s="185"/>
      <c r="I105" s="185"/>
    </row>
    <row r="106" spans="2:9" ht="14" customHeight="1" x14ac:dyDescent="0.25">
      <c r="B106" s="191"/>
      <c r="C106" s="139"/>
      <c r="D106" s="139"/>
      <c r="E106" s="185"/>
      <c r="F106" s="185"/>
      <c r="G106" s="185"/>
      <c r="H106" s="185"/>
      <c r="I106" s="185"/>
    </row>
    <row r="107" spans="2:9" ht="14" customHeight="1" x14ac:dyDescent="0.25">
      <c r="B107" s="191"/>
      <c r="C107" s="139"/>
      <c r="D107" s="139"/>
      <c r="E107" s="185"/>
      <c r="F107" s="185"/>
      <c r="G107" s="185"/>
      <c r="H107" s="185"/>
      <c r="I107" s="185"/>
    </row>
    <row r="108" spans="2:9" ht="14" customHeight="1" x14ac:dyDescent="0.25">
      <c r="B108" s="191"/>
      <c r="C108" s="139"/>
      <c r="D108" s="139"/>
      <c r="E108" s="185"/>
      <c r="F108" s="185"/>
      <c r="G108" s="185"/>
      <c r="H108" s="185"/>
      <c r="I108" s="185"/>
    </row>
    <row r="109" spans="2:9" ht="14" customHeight="1" x14ac:dyDescent="0.25">
      <c r="B109" s="191"/>
      <c r="C109" s="139"/>
      <c r="D109" s="139"/>
      <c r="E109" s="185"/>
      <c r="F109" s="185"/>
      <c r="G109" s="185"/>
      <c r="H109" s="185"/>
      <c r="I109" s="185"/>
    </row>
    <row r="110" spans="2:9" ht="14" customHeight="1" x14ac:dyDescent="0.25">
      <c r="B110" s="191"/>
      <c r="C110" s="139"/>
      <c r="D110" s="139"/>
      <c r="E110" s="185"/>
      <c r="F110" s="185"/>
      <c r="G110" s="185"/>
      <c r="H110" s="185"/>
      <c r="I110" s="185"/>
    </row>
    <row r="111" spans="2:9" ht="14" customHeight="1" x14ac:dyDescent="0.25">
      <c r="B111" s="191"/>
      <c r="C111" s="139"/>
      <c r="D111" s="139"/>
      <c r="E111" s="185"/>
      <c r="F111" s="185"/>
      <c r="G111" s="185"/>
      <c r="H111" s="185"/>
      <c r="I111" s="185"/>
    </row>
    <row r="112" spans="2:9" ht="14" customHeight="1" x14ac:dyDescent="0.25">
      <c r="B112" s="191"/>
      <c r="C112" s="139"/>
      <c r="D112" s="139"/>
      <c r="E112" s="185"/>
      <c r="F112" s="185"/>
      <c r="G112" s="185"/>
      <c r="H112" s="185"/>
      <c r="I112" s="185"/>
    </row>
    <row r="113" spans="2:9" ht="14" customHeight="1" x14ac:dyDescent="0.25">
      <c r="B113" s="191"/>
      <c r="C113" s="139"/>
      <c r="D113" s="139"/>
      <c r="E113" s="185"/>
      <c r="F113" s="185"/>
      <c r="G113" s="185"/>
      <c r="H113" s="185"/>
      <c r="I113" s="185"/>
    </row>
    <row r="114" spans="2:9" ht="14" customHeight="1" x14ac:dyDescent="0.25">
      <c r="B114" s="191"/>
      <c r="C114" s="139"/>
      <c r="D114" s="139"/>
      <c r="E114" s="185"/>
      <c r="F114" s="185"/>
      <c r="G114" s="185"/>
      <c r="H114" s="185"/>
      <c r="I114" s="185"/>
    </row>
    <row r="115" spans="2:9" ht="14" customHeight="1" x14ac:dyDescent="0.25">
      <c r="B115" s="191"/>
      <c r="C115" s="139"/>
      <c r="D115" s="139"/>
      <c r="E115" s="185"/>
      <c r="F115" s="185"/>
      <c r="G115" s="185"/>
      <c r="H115" s="185"/>
      <c r="I115" s="185"/>
    </row>
    <row r="116" spans="2:9" ht="14" customHeight="1" x14ac:dyDescent="0.25">
      <c r="B116" s="191"/>
      <c r="C116" s="139"/>
      <c r="D116" s="139"/>
      <c r="E116" s="185"/>
      <c r="F116" s="185"/>
      <c r="G116" s="185"/>
      <c r="H116" s="185"/>
      <c r="I116" s="185"/>
    </row>
    <row r="117" spans="2:9" ht="14" customHeight="1" x14ac:dyDescent="0.25">
      <c r="B117" s="191"/>
      <c r="C117" s="139"/>
      <c r="D117" s="139"/>
      <c r="E117" s="185"/>
      <c r="F117" s="185"/>
      <c r="G117" s="185"/>
      <c r="H117" s="185"/>
      <c r="I117" s="185"/>
    </row>
    <row r="118" spans="2:9" ht="14" customHeight="1" x14ac:dyDescent="0.25">
      <c r="B118" s="191"/>
      <c r="C118" s="139"/>
      <c r="D118" s="139"/>
      <c r="E118" s="185"/>
      <c r="F118" s="185"/>
      <c r="G118" s="185"/>
      <c r="H118" s="185"/>
      <c r="I118" s="185"/>
    </row>
    <row r="119" spans="2:9" ht="14" customHeight="1" x14ac:dyDescent="0.25">
      <c r="B119" s="191"/>
      <c r="C119" s="139"/>
      <c r="D119" s="139"/>
      <c r="E119" s="185"/>
      <c r="F119" s="185"/>
      <c r="G119" s="185"/>
      <c r="H119" s="185"/>
      <c r="I119" s="185"/>
    </row>
    <row r="120" spans="2:9" ht="14" customHeight="1" x14ac:dyDescent="0.25">
      <c r="B120" s="191"/>
      <c r="C120" s="139"/>
      <c r="D120" s="139"/>
      <c r="E120" s="185"/>
      <c r="F120" s="185"/>
      <c r="G120" s="185"/>
      <c r="H120" s="185"/>
      <c r="I120" s="185"/>
    </row>
    <row r="121" spans="2:9" ht="14" customHeight="1" x14ac:dyDescent="0.25">
      <c r="B121" s="191"/>
      <c r="C121" s="139"/>
      <c r="D121" s="139"/>
      <c r="E121" s="185"/>
      <c r="F121" s="185"/>
      <c r="G121" s="185"/>
      <c r="H121" s="185"/>
      <c r="I121" s="185"/>
    </row>
    <row r="122" spans="2:9" ht="14" customHeight="1" x14ac:dyDescent="0.25">
      <c r="B122" s="191"/>
      <c r="C122" s="139"/>
      <c r="D122" s="139"/>
      <c r="E122" s="185"/>
      <c r="F122" s="185"/>
      <c r="G122" s="185"/>
      <c r="H122" s="185"/>
      <c r="I122" s="185"/>
    </row>
    <row r="123" spans="2:9" ht="14" customHeight="1" x14ac:dyDescent="0.25">
      <c r="B123" s="191"/>
      <c r="C123" s="139"/>
      <c r="D123" s="139"/>
      <c r="E123" s="185"/>
      <c r="F123" s="185"/>
      <c r="G123" s="185"/>
      <c r="H123" s="185"/>
      <c r="I123" s="185"/>
    </row>
    <row r="124" spans="2:9" ht="14" customHeight="1" x14ac:dyDescent="0.25">
      <c r="B124" s="191"/>
      <c r="C124" s="139"/>
      <c r="D124" s="139"/>
      <c r="E124" s="185"/>
      <c r="F124" s="185"/>
      <c r="G124" s="185"/>
      <c r="H124" s="185"/>
      <c r="I124" s="185"/>
    </row>
    <row r="125" spans="2:9" ht="14" customHeight="1" x14ac:dyDescent="0.25">
      <c r="B125" s="191"/>
      <c r="C125" s="139"/>
      <c r="D125" s="139"/>
      <c r="E125" s="185"/>
      <c r="F125" s="185"/>
      <c r="G125" s="185"/>
      <c r="H125" s="185"/>
      <c r="I125" s="185"/>
    </row>
    <row r="126" spans="2:9" ht="14" customHeight="1" x14ac:dyDescent="0.25">
      <c r="B126" s="191"/>
      <c r="C126" s="139"/>
      <c r="D126" s="139"/>
      <c r="E126" s="185"/>
      <c r="F126" s="185"/>
      <c r="G126" s="185"/>
      <c r="H126" s="185"/>
      <c r="I126" s="185"/>
    </row>
    <row r="127" spans="2:9" ht="14" customHeight="1" x14ac:dyDescent="0.25">
      <c r="B127" s="191"/>
      <c r="C127" s="139"/>
      <c r="D127" s="139"/>
      <c r="E127" s="185"/>
      <c r="F127" s="185"/>
      <c r="G127" s="185"/>
      <c r="H127" s="185"/>
      <c r="I127" s="185"/>
    </row>
    <row r="128" spans="2:9" ht="14" customHeight="1" x14ac:dyDescent="0.25">
      <c r="B128" s="191"/>
      <c r="C128" s="139"/>
      <c r="D128" s="139"/>
      <c r="E128" s="185"/>
      <c r="F128" s="185"/>
      <c r="G128" s="185"/>
      <c r="H128" s="185"/>
      <c r="I128" s="185"/>
    </row>
    <row r="129" spans="2:9" ht="14" customHeight="1" x14ac:dyDescent="0.25">
      <c r="B129" s="191"/>
      <c r="C129" s="139"/>
      <c r="D129" s="139"/>
      <c r="E129" s="185"/>
      <c r="F129" s="185"/>
      <c r="G129" s="185"/>
      <c r="H129" s="185"/>
      <c r="I129" s="185"/>
    </row>
    <row r="130" spans="2:9" ht="14" customHeight="1" x14ac:dyDescent="0.25">
      <c r="B130" s="191"/>
      <c r="C130" s="139"/>
      <c r="D130" s="139"/>
      <c r="E130" s="185"/>
      <c r="F130" s="185"/>
      <c r="G130" s="185"/>
      <c r="H130" s="185"/>
      <c r="I130" s="185"/>
    </row>
    <row r="131" spans="2:9" ht="14" customHeight="1" x14ac:dyDescent="0.25">
      <c r="B131" s="191"/>
      <c r="C131" s="139"/>
      <c r="D131" s="139"/>
      <c r="E131" s="185"/>
      <c r="F131" s="185"/>
      <c r="G131" s="185"/>
      <c r="H131" s="185"/>
      <c r="I131" s="185"/>
    </row>
    <row r="132" spans="2:9" ht="14" customHeight="1" x14ac:dyDescent="0.25">
      <c r="B132" s="191"/>
      <c r="C132" s="139"/>
      <c r="D132" s="139"/>
      <c r="E132" s="185"/>
      <c r="F132" s="185"/>
      <c r="G132" s="185"/>
      <c r="H132" s="185"/>
      <c r="I132" s="185"/>
    </row>
    <row r="133" spans="2:9" ht="14" customHeight="1" x14ac:dyDescent="0.25">
      <c r="B133" s="191"/>
      <c r="C133" s="139"/>
      <c r="D133" s="139"/>
      <c r="E133" s="185"/>
      <c r="F133" s="185"/>
      <c r="G133" s="185"/>
      <c r="H133" s="185"/>
      <c r="I133" s="185"/>
    </row>
    <row r="134" spans="2:9" ht="14" customHeight="1" x14ac:dyDescent="0.25">
      <c r="B134" s="191"/>
      <c r="C134" s="139"/>
      <c r="D134" s="139"/>
      <c r="E134" s="185"/>
      <c r="F134" s="185"/>
      <c r="G134" s="185"/>
      <c r="H134" s="185"/>
      <c r="I134" s="185"/>
    </row>
    <row r="135" spans="2:9" ht="14" customHeight="1" x14ac:dyDescent="0.25">
      <c r="B135" s="191"/>
      <c r="C135" s="139"/>
      <c r="D135" s="139"/>
      <c r="E135" s="185"/>
      <c r="F135" s="185"/>
      <c r="G135" s="185"/>
      <c r="H135" s="185"/>
      <c r="I135" s="185"/>
    </row>
    <row r="136" spans="2:9" ht="14" customHeight="1" x14ac:dyDescent="0.25">
      <c r="B136" s="191"/>
      <c r="C136" s="139"/>
      <c r="D136" s="139"/>
      <c r="E136" s="185"/>
      <c r="F136" s="185"/>
      <c r="G136" s="185"/>
      <c r="H136" s="185"/>
      <c r="I136" s="185"/>
    </row>
    <row r="137" spans="2:9" ht="14" customHeight="1" x14ac:dyDescent="0.25">
      <c r="B137" s="191"/>
      <c r="C137" s="139"/>
      <c r="D137" s="139"/>
      <c r="E137" s="185"/>
      <c r="F137" s="185"/>
      <c r="G137" s="185"/>
      <c r="H137" s="185"/>
      <c r="I137" s="185"/>
    </row>
    <row r="138" spans="2:9" ht="14" customHeight="1" x14ac:dyDescent="0.25">
      <c r="B138" s="191"/>
      <c r="C138" s="139"/>
      <c r="D138" s="139"/>
      <c r="E138" s="185"/>
      <c r="F138" s="185"/>
      <c r="G138" s="185"/>
      <c r="H138" s="185"/>
      <c r="I138" s="185"/>
    </row>
    <row r="139" spans="2:9" ht="14" customHeight="1" x14ac:dyDescent="0.25">
      <c r="B139" s="191"/>
      <c r="C139" s="139"/>
      <c r="D139" s="139"/>
      <c r="E139" s="185"/>
      <c r="F139" s="185"/>
      <c r="G139" s="185"/>
      <c r="H139" s="185"/>
      <c r="I139" s="185"/>
    </row>
    <row r="140" spans="2:9" ht="14" customHeight="1" x14ac:dyDescent="0.25">
      <c r="B140" s="191"/>
      <c r="C140" s="139"/>
      <c r="D140" s="139"/>
      <c r="E140" s="185"/>
      <c r="F140" s="185"/>
      <c r="G140" s="185"/>
      <c r="H140" s="185"/>
      <c r="I140" s="185"/>
    </row>
    <row r="141" spans="2:9" ht="14" customHeight="1" x14ac:dyDescent="0.25">
      <c r="B141" s="191"/>
      <c r="C141" s="139"/>
      <c r="D141" s="139"/>
      <c r="E141" s="185"/>
      <c r="F141" s="185"/>
      <c r="G141" s="185"/>
      <c r="H141" s="185"/>
      <c r="I141" s="185"/>
    </row>
    <row r="142" spans="2:9" ht="14" customHeight="1" x14ac:dyDescent="0.25">
      <c r="B142" s="191"/>
    </row>
    <row r="143" spans="2:9" ht="14" customHeight="1" x14ac:dyDescent="0.25">
      <c r="B143" s="191"/>
    </row>
    <row r="144" spans="2:9" ht="14" customHeight="1" x14ac:dyDescent="0.25">
      <c r="B144" s="191"/>
    </row>
    <row r="145" spans="2:2" ht="14" customHeight="1" x14ac:dyDescent="0.25">
      <c r="B145" s="191"/>
    </row>
    <row r="146" spans="2:2" ht="14" customHeight="1" x14ac:dyDescent="0.25">
      <c r="B146" s="191"/>
    </row>
    <row r="147" spans="2:2" ht="14" customHeight="1" x14ac:dyDescent="0.25">
      <c r="B147" s="191"/>
    </row>
    <row r="148" spans="2:2" ht="14" customHeight="1" x14ac:dyDescent="0.25">
      <c r="B148" s="191"/>
    </row>
    <row r="149" spans="2:2" ht="14" customHeight="1" x14ac:dyDescent="0.25">
      <c r="B149" s="191"/>
    </row>
    <row r="150" spans="2:2" ht="14" customHeight="1" x14ac:dyDescent="0.25">
      <c r="B150" s="191"/>
    </row>
    <row r="151" spans="2:2" ht="14" customHeight="1" x14ac:dyDescent="0.25">
      <c r="B151" s="191"/>
    </row>
    <row r="152" spans="2:2" ht="14" customHeight="1" x14ac:dyDescent="0.25">
      <c r="B152" s="191"/>
    </row>
    <row r="153" spans="2:2" ht="14" customHeight="1" x14ac:dyDescent="0.25"/>
    <row r="154" spans="2:2" ht="14" customHeight="1" x14ac:dyDescent="0.25"/>
    <row r="155" spans="2:2" ht="14" customHeight="1" x14ac:dyDescent="0.25"/>
    <row r="156" spans="2:2" ht="14" customHeight="1" x14ac:dyDescent="0.25"/>
    <row r="157" spans="2:2" ht="14" customHeight="1" x14ac:dyDescent="0.25"/>
    <row r="158" spans="2:2" ht="14" customHeight="1" x14ac:dyDescent="0.25"/>
    <row r="159" spans="2:2" ht="14" customHeight="1" x14ac:dyDescent="0.25"/>
    <row r="160" spans="2:2" ht="14" customHeight="1" x14ac:dyDescent="0.25"/>
    <row r="161" ht="14" customHeight="1" x14ac:dyDescent="0.25"/>
    <row r="162" ht="14" customHeight="1" x14ac:dyDescent="0.25"/>
    <row r="163" ht="14" customHeight="1" x14ac:dyDescent="0.25"/>
    <row r="164" ht="14" customHeight="1" x14ac:dyDescent="0.25"/>
    <row r="165" ht="14" customHeight="1" x14ac:dyDescent="0.25"/>
    <row r="166" ht="14" customHeight="1" x14ac:dyDescent="0.25"/>
    <row r="167" ht="14" customHeight="1" x14ac:dyDescent="0.25"/>
    <row r="168" ht="14" customHeight="1" x14ac:dyDescent="0.25"/>
    <row r="169" ht="14" customHeight="1" x14ac:dyDescent="0.25"/>
    <row r="170" ht="14" customHeight="1" x14ac:dyDescent="0.25"/>
  </sheetData>
  <phoneticPr fontId="17" type="noConversion"/>
  <pageMargins left="0.7" right="0.7" top="0.75" bottom="0.75" header="0.3" footer="0.3"/>
  <pageSetup paperSize="9" orientation="portrait" r:id="rId1"/>
  <ignoredErrors>
    <ignoredError sqref="O1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T169"/>
  <sheetViews>
    <sheetView topLeftCell="A16" zoomScale="80" zoomScaleNormal="80" workbookViewId="0">
      <selection activeCell="F94" sqref="F94:G95"/>
    </sheetView>
  </sheetViews>
  <sheetFormatPr defaultColWidth="9" defaultRowHeight="13.85" x14ac:dyDescent="0.25"/>
  <cols>
    <col min="1" max="1" width="5.69921875" style="154" customWidth="1"/>
    <col min="2" max="2" width="30.69921875" style="52" customWidth="1"/>
    <col min="3" max="15" width="8.69921875" style="154" customWidth="1"/>
    <col min="16" max="16" width="9" style="154"/>
    <col min="17" max="17" width="9" style="154" customWidth="1"/>
    <col min="18" max="16384" width="9" style="154"/>
  </cols>
  <sheetData>
    <row r="1" spans="2:15" x14ac:dyDescent="0.25">
      <c r="B1" s="67" t="s">
        <v>92</v>
      </c>
    </row>
    <row r="2" spans="2:15" s="148" customFormat="1" ht="14" customHeight="1" x14ac:dyDescent="0.25">
      <c r="B2" s="61" t="s">
        <v>166</v>
      </c>
      <c r="C2" s="192"/>
      <c r="D2" s="192"/>
      <c r="E2" s="192"/>
      <c r="F2" s="62"/>
      <c r="G2" s="192"/>
      <c r="H2" s="192"/>
      <c r="I2" s="192"/>
      <c r="J2" s="192"/>
      <c r="K2" s="192"/>
      <c r="L2" s="192"/>
      <c r="M2" s="192"/>
      <c r="N2" s="192"/>
      <c r="O2" s="192"/>
    </row>
    <row r="3" spans="2:15" s="148" customFormat="1" ht="14" customHeight="1" x14ac:dyDescent="0.25">
      <c r="B3" s="66" t="s">
        <v>120</v>
      </c>
      <c r="C3" s="56" t="s">
        <v>49</v>
      </c>
      <c r="D3" s="56" t="s">
        <v>50</v>
      </c>
      <c r="E3" s="56" t="s">
        <v>51</v>
      </c>
      <c r="F3" s="56" t="s">
        <v>52</v>
      </c>
      <c r="G3" s="56" t="s">
        <v>53</v>
      </c>
      <c r="H3" s="56" t="s">
        <v>54</v>
      </c>
      <c r="I3" s="56" t="s">
        <v>55</v>
      </c>
      <c r="J3" s="56" t="s">
        <v>56</v>
      </c>
      <c r="K3" s="56" t="s">
        <v>57</v>
      </c>
      <c r="L3" s="56" t="s">
        <v>58</v>
      </c>
      <c r="M3" s="56" t="s">
        <v>59</v>
      </c>
      <c r="N3" s="56" t="s">
        <v>60</v>
      </c>
      <c r="O3" s="56" t="s">
        <v>109</v>
      </c>
    </row>
    <row r="4" spans="2:15" s="148" customFormat="1" ht="14" customHeight="1" x14ac:dyDescent="0.25">
      <c r="B4" s="41">
        <v>2019</v>
      </c>
      <c r="C4" s="43">
        <v>8.9346999999999994</v>
      </c>
      <c r="D4" s="43">
        <v>5.0655000000000001</v>
      </c>
      <c r="E4" s="43">
        <v>11.1122</v>
      </c>
      <c r="F4" s="43">
        <v>9.1529000000000007</v>
      </c>
      <c r="G4" s="43">
        <v>9.6808999999999994</v>
      </c>
      <c r="H4" s="43">
        <v>13.2913</v>
      </c>
      <c r="I4" s="43">
        <v>6.6821000000000002</v>
      </c>
      <c r="J4" s="43">
        <v>7.1063999999999998</v>
      </c>
      <c r="K4" s="43">
        <v>6.5015000000000001</v>
      </c>
      <c r="L4" s="43">
        <v>6.5746000000000002</v>
      </c>
      <c r="M4" s="43">
        <v>7.9093999999999998</v>
      </c>
      <c r="N4" s="43">
        <v>13.8306</v>
      </c>
      <c r="O4" s="43">
        <f>SUM(C4:N4)</f>
        <v>105.84210000000002</v>
      </c>
    </row>
    <row r="5" spans="2:15" s="148" customFormat="1" ht="14" customHeight="1" x14ac:dyDescent="0.25">
      <c r="B5" s="41">
        <v>2020</v>
      </c>
      <c r="C5" s="44">
        <v>4.3</v>
      </c>
      <c r="D5" s="43">
        <v>1.5323</v>
      </c>
      <c r="E5" s="43">
        <v>5.3795000000000002</v>
      </c>
      <c r="F5" s="43">
        <v>5.8768000000000002</v>
      </c>
      <c r="G5" s="43">
        <v>7.1258999999999997</v>
      </c>
      <c r="H5" s="43">
        <v>8.6023999999999994</v>
      </c>
      <c r="I5" s="43">
        <v>8.0726999999999993</v>
      </c>
      <c r="J5" s="43">
        <v>10.041600000000001</v>
      </c>
      <c r="K5" s="43">
        <v>12.471299999999999</v>
      </c>
      <c r="L5" s="43">
        <v>14.4443</v>
      </c>
      <c r="M5" s="43">
        <v>18.170999999999999</v>
      </c>
      <c r="N5" s="44">
        <v>21.1</v>
      </c>
      <c r="O5" s="43">
        <f>SUM(C5:N5)</f>
        <v>117.11779999999999</v>
      </c>
    </row>
    <row r="6" spans="2:15" s="148" customFormat="1" ht="14" customHeight="1" x14ac:dyDescent="0.25">
      <c r="B6" s="41">
        <v>2021</v>
      </c>
      <c r="C6" s="44">
        <v>17.059999999999999</v>
      </c>
      <c r="D6" s="43">
        <v>9.9962</v>
      </c>
      <c r="E6" s="43">
        <v>20.203600000000002</v>
      </c>
      <c r="F6" s="43">
        <v>18.449300000000001</v>
      </c>
      <c r="G6" s="43">
        <v>19.877400000000002</v>
      </c>
      <c r="H6" s="43">
        <v>23.363299999999999</v>
      </c>
      <c r="I6" s="43">
        <v>24.560400000000001</v>
      </c>
      <c r="J6" s="43">
        <v>31</v>
      </c>
      <c r="K6" s="43">
        <v>35.471800000000002</v>
      </c>
      <c r="L6" s="43">
        <v>36.479700000000001</v>
      </c>
      <c r="M6" s="43">
        <v>42.866100000000003</v>
      </c>
      <c r="N6" s="44">
        <v>50.5</v>
      </c>
      <c r="O6" s="43">
        <f t="shared" ref="O6:O7" si="0">SUM(C6:N6)</f>
        <v>329.82780000000002</v>
      </c>
    </row>
    <row r="7" spans="2:15" s="148" customFormat="1" ht="14" customHeight="1" x14ac:dyDescent="0.25">
      <c r="B7" s="41">
        <v>2022</v>
      </c>
      <c r="C7" s="44">
        <v>41.2</v>
      </c>
      <c r="D7" s="44">
        <v>31.7</v>
      </c>
      <c r="E7" s="193">
        <v>45.5</v>
      </c>
      <c r="F7" s="193">
        <v>28.1</v>
      </c>
      <c r="G7" s="193">
        <v>42.2</v>
      </c>
      <c r="H7" s="193">
        <v>57.1</v>
      </c>
      <c r="I7" s="193">
        <v>56.4</v>
      </c>
      <c r="J7" s="193">
        <v>63.2</v>
      </c>
      <c r="K7" s="193">
        <v>67.5</v>
      </c>
      <c r="L7" s="193">
        <v>67.599999999999994</v>
      </c>
      <c r="M7" s="193">
        <v>72.8</v>
      </c>
      <c r="N7" s="193">
        <v>75</v>
      </c>
      <c r="O7" s="43">
        <f t="shared" si="0"/>
        <v>648.29999999999995</v>
      </c>
    </row>
    <row r="8" spans="2:15" s="148" customFormat="1" ht="14" customHeight="1" x14ac:dyDescent="0.25">
      <c r="B8" s="41">
        <v>2023</v>
      </c>
      <c r="C8" s="44">
        <v>38.700000000000003</v>
      </c>
      <c r="D8" s="44">
        <v>49.6</v>
      </c>
      <c r="E8" s="193">
        <v>61.7</v>
      </c>
      <c r="F8" s="193">
        <v>60.7</v>
      </c>
      <c r="G8" s="193">
        <v>67.3</v>
      </c>
      <c r="H8" s="193">
        <v>76.099999999999994</v>
      </c>
      <c r="I8" s="193">
        <v>73.7</v>
      </c>
      <c r="J8" s="193">
        <v>79.599999999999994</v>
      </c>
      <c r="K8" s="193">
        <v>82.9</v>
      </c>
      <c r="L8" s="193">
        <v>88.3</v>
      </c>
      <c r="M8" s="193">
        <v>96.2</v>
      </c>
      <c r="N8" s="193">
        <v>111.5</v>
      </c>
      <c r="O8" s="43">
        <v>887.3</v>
      </c>
    </row>
    <row r="9" spans="2:15" s="148" customFormat="1" ht="14" customHeight="1" x14ac:dyDescent="0.25">
      <c r="B9" s="41">
        <v>2024</v>
      </c>
      <c r="C9" s="44">
        <v>68.2</v>
      </c>
      <c r="D9" s="44">
        <v>44.7</v>
      </c>
      <c r="E9" s="193">
        <v>81.5</v>
      </c>
      <c r="F9" s="193">
        <v>80.8</v>
      </c>
      <c r="G9" s="193">
        <v>89.7</v>
      </c>
      <c r="H9" s="193">
        <v>98.3</v>
      </c>
      <c r="I9" s="193">
        <v>94.5</v>
      </c>
      <c r="J9" s="193">
        <v>105</v>
      </c>
      <c r="K9" s="193">
        <v>123.1</v>
      </c>
      <c r="L9" s="193">
        <v>136.9</v>
      </c>
      <c r="M9" s="193">
        <v>144</v>
      </c>
      <c r="N9" s="193">
        <v>151.19999999999999</v>
      </c>
      <c r="O9" s="57">
        <v>1223</v>
      </c>
    </row>
    <row r="10" spans="2:15" s="148" customFormat="1" ht="14" customHeight="1" x14ac:dyDescent="0.25">
      <c r="B10" s="41">
        <v>2025</v>
      </c>
      <c r="C10" s="44">
        <v>88.9</v>
      </c>
      <c r="D10" s="44">
        <v>83.2</v>
      </c>
      <c r="E10" s="193">
        <v>113.1</v>
      </c>
      <c r="F10" s="193">
        <v>113.9</v>
      </c>
      <c r="G10" s="193">
        <v>122.2</v>
      </c>
      <c r="H10" s="193">
        <v>124.1</v>
      </c>
      <c r="I10" s="193">
        <v>118.7</v>
      </c>
      <c r="J10" s="193">
        <v>128.19999999999999</v>
      </c>
      <c r="K10" s="193">
        <v>150</v>
      </c>
      <c r="L10" s="193">
        <v>161.19999999999999</v>
      </c>
      <c r="M10" s="193">
        <v>170.6</v>
      </c>
      <c r="N10" s="193">
        <v>156.30000000000001</v>
      </c>
      <c r="O10" s="57">
        <v>1531.9</v>
      </c>
    </row>
    <row r="11" spans="2:15" s="148" customFormat="1" ht="14" customHeight="1" x14ac:dyDescent="0.25">
      <c r="B11" s="59" t="s">
        <v>116</v>
      </c>
      <c r="C11" s="60">
        <f t="shared" ref="C11:M11" si="1">C10/C9-1</f>
        <v>0.30351906158357767</v>
      </c>
      <c r="D11" s="60">
        <f t="shared" si="1"/>
        <v>0.86129753914988805</v>
      </c>
      <c r="E11" s="60">
        <f t="shared" si="1"/>
        <v>0.38773006134969323</v>
      </c>
      <c r="F11" s="60">
        <f t="shared" si="1"/>
        <v>0.40965346534653468</v>
      </c>
      <c r="G11" s="60">
        <f t="shared" si="1"/>
        <v>0.3623188405797102</v>
      </c>
      <c r="H11" s="60">
        <f t="shared" si="1"/>
        <v>0.26246185147507628</v>
      </c>
      <c r="I11" s="60">
        <f t="shared" si="1"/>
        <v>0.25608465608465614</v>
      </c>
      <c r="J11" s="60">
        <f t="shared" si="1"/>
        <v>0.22095238095238079</v>
      </c>
      <c r="K11" s="60">
        <f t="shared" si="1"/>
        <v>0.21852152721364759</v>
      </c>
      <c r="L11" s="60">
        <f t="shared" si="1"/>
        <v>0.17750182615047461</v>
      </c>
      <c r="M11" s="60">
        <f t="shared" si="1"/>
        <v>0.18472222222222223</v>
      </c>
      <c r="N11" s="60">
        <f>N10/N9-1</f>
        <v>3.3730158730158832E-2</v>
      </c>
      <c r="O11" s="60">
        <f>O10/O9-1</f>
        <v>0.25257563368765346</v>
      </c>
    </row>
    <row r="12" spans="2:15" s="148" customFormat="1" ht="14" customHeight="1" x14ac:dyDescent="0.25">
      <c r="B12" s="59" t="s">
        <v>117</v>
      </c>
      <c r="C12" s="60">
        <f>C10/N9-1</f>
        <v>-0.41203703703703698</v>
      </c>
      <c r="D12" s="60">
        <f t="shared" ref="D12:N12" si="2">D10/C10-1</f>
        <v>-6.4116985376827973E-2</v>
      </c>
      <c r="E12" s="60">
        <f t="shared" si="2"/>
        <v>0.35937499999999978</v>
      </c>
      <c r="F12" s="60">
        <f t="shared" si="2"/>
        <v>7.0733863837313393E-3</v>
      </c>
      <c r="G12" s="60">
        <f t="shared" si="2"/>
        <v>7.2870939420544234E-2</v>
      </c>
      <c r="H12" s="60">
        <f t="shared" si="2"/>
        <v>1.5548281505728179E-2</v>
      </c>
      <c r="I12" s="60">
        <f t="shared" si="2"/>
        <v>-4.3513295729250556E-2</v>
      </c>
      <c r="J12" s="60">
        <f t="shared" si="2"/>
        <v>8.0033698399325948E-2</v>
      </c>
      <c r="K12" s="60">
        <f t="shared" si="2"/>
        <v>0.17004680187207488</v>
      </c>
      <c r="L12" s="60">
        <f t="shared" si="2"/>
        <v>7.4666666666666659E-2</v>
      </c>
      <c r="M12" s="60">
        <f t="shared" si="2"/>
        <v>5.8312655086848686E-2</v>
      </c>
      <c r="N12" s="60">
        <f t="shared" si="2"/>
        <v>-8.382180539273143E-2</v>
      </c>
      <c r="O12" s="194"/>
    </row>
    <row r="13" spans="2:15" s="148" customFormat="1" ht="14" customHeight="1" x14ac:dyDescent="0.25">
      <c r="B13" s="41">
        <v>2026</v>
      </c>
      <c r="C13" s="44">
        <v>86.7</v>
      </c>
      <c r="D13" s="44">
        <v>72.3</v>
      </c>
      <c r="E13" s="193">
        <v>114.4</v>
      </c>
      <c r="F13" s="193">
        <v>122.5</v>
      </c>
      <c r="G13" s="193">
        <v>135.19999999999999</v>
      </c>
      <c r="H13" s="193"/>
      <c r="I13" s="193"/>
      <c r="J13" s="193"/>
      <c r="K13" s="193"/>
      <c r="L13" s="193"/>
      <c r="M13" s="193"/>
      <c r="N13" s="193"/>
      <c r="O13" s="57"/>
    </row>
    <row r="14" spans="2:15" s="148" customFormat="1" ht="14" customHeight="1" x14ac:dyDescent="0.25">
      <c r="B14" s="176" t="s">
        <v>118</v>
      </c>
      <c r="C14" s="167">
        <f>C13/C10-1</f>
        <v>-2.4746906636670452E-2</v>
      </c>
      <c r="D14" s="167">
        <f>D13/D10-1</f>
        <v>-0.13100961538461542</v>
      </c>
      <c r="E14" s="167">
        <f>E13/E10-1</f>
        <v>1.1494252873563315E-2</v>
      </c>
      <c r="F14" s="167">
        <f>F13/F10-1</f>
        <v>7.5504828797190449E-2</v>
      </c>
      <c r="G14" s="167">
        <f>G13/G10-1</f>
        <v>0.10638297872340408</v>
      </c>
      <c r="H14" s="167"/>
      <c r="I14" s="167"/>
      <c r="J14" s="167"/>
      <c r="K14" s="167"/>
      <c r="L14" s="167"/>
      <c r="M14" s="167"/>
      <c r="N14" s="167"/>
      <c r="O14" s="167"/>
    </row>
    <row r="15" spans="2:15" s="148" customFormat="1" ht="14" customHeight="1" x14ac:dyDescent="0.25">
      <c r="B15" s="176" t="s">
        <v>48</v>
      </c>
      <c r="C15" s="177">
        <f>C13/N10-1</f>
        <v>-0.44529750479846453</v>
      </c>
      <c r="D15" s="167">
        <f>D13/C13-1</f>
        <v>-0.16608996539792398</v>
      </c>
      <c r="E15" s="167">
        <f>E13/D13-1</f>
        <v>0.58229598893499324</v>
      </c>
      <c r="F15" s="167">
        <f>F13/E13-1</f>
        <v>7.0804195804195835E-2</v>
      </c>
      <c r="G15" s="167">
        <f>G13/F13-1</f>
        <v>0.10367346938775501</v>
      </c>
      <c r="H15" s="167"/>
      <c r="I15" s="167"/>
      <c r="J15" s="167"/>
      <c r="K15" s="167"/>
      <c r="L15" s="167"/>
      <c r="M15" s="167"/>
      <c r="N15" s="167"/>
      <c r="O15" s="137"/>
    </row>
    <row r="16" spans="2:15" s="148" customFormat="1" ht="14" customHeight="1" x14ac:dyDescent="0.25">
      <c r="O16" s="42"/>
    </row>
    <row r="17" spans="2:16" s="148" customFormat="1" ht="14" customHeight="1" x14ac:dyDescent="0.25">
      <c r="B17" s="66" t="s">
        <v>121</v>
      </c>
      <c r="C17" s="56" t="s">
        <v>49</v>
      </c>
      <c r="D17" s="56" t="s">
        <v>50</v>
      </c>
      <c r="E17" s="56" t="s">
        <v>51</v>
      </c>
      <c r="F17" s="56" t="s">
        <v>52</v>
      </c>
      <c r="G17" s="56" t="s">
        <v>53</v>
      </c>
      <c r="H17" s="56" t="s">
        <v>54</v>
      </c>
      <c r="I17" s="56" t="s">
        <v>55</v>
      </c>
      <c r="J17" s="56" t="s">
        <v>56</v>
      </c>
      <c r="K17" s="56" t="s">
        <v>57</v>
      </c>
      <c r="L17" s="56" t="s">
        <v>58</v>
      </c>
      <c r="M17" s="56" t="s">
        <v>59</v>
      </c>
      <c r="N17" s="56" t="s">
        <v>60</v>
      </c>
      <c r="O17" s="56" t="s">
        <v>38</v>
      </c>
    </row>
    <row r="18" spans="2:16" s="148" customFormat="1" ht="14" customHeight="1" x14ac:dyDescent="0.25">
      <c r="B18" s="41">
        <v>2021</v>
      </c>
      <c r="C18" s="44">
        <v>203.4</v>
      </c>
      <c r="D18" s="44">
        <v>114.7</v>
      </c>
      <c r="E18" s="44">
        <v>184.3</v>
      </c>
      <c r="F18" s="44">
        <v>166.1</v>
      </c>
      <c r="G18" s="44">
        <v>161.1</v>
      </c>
      <c r="H18" s="44">
        <v>153.9</v>
      </c>
      <c r="I18" s="44">
        <v>151.6</v>
      </c>
      <c r="J18" s="44">
        <v>151.69999999999999</v>
      </c>
      <c r="K18" s="44">
        <v>173.7</v>
      </c>
      <c r="L18" s="44">
        <v>197.4</v>
      </c>
      <c r="M18" s="44">
        <v>215</v>
      </c>
      <c r="N18" s="44">
        <v>236.7</v>
      </c>
      <c r="O18" s="48">
        <f>SUM(C18:N18)</f>
        <v>2109.6</v>
      </c>
    </row>
    <row r="19" spans="2:16" s="148" customFormat="1" ht="14" customHeight="1" x14ac:dyDescent="0.25">
      <c r="B19" s="41">
        <v>2022</v>
      </c>
      <c r="C19" s="44">
        <v>215.9</v>
      </c>
      <c r="D19" s="44">
        <v>146.80000000000001</v>
      </c>
      <c r="E19" s="193">
        <v>181.5</v>
      </c>
      <c r="F19" s="193">
        <v>95.1</v>
      </c>
      <c r="G19" s="193">
        <v>159.1</v>
      </c>
      <c r="H19" s="193">
        <v>218.9</v>
      </c>
      <c r="I19" s="193">
        <v>213.4</v>
      </c>
      <c r="J19" s="193">
        <v>210</v>
      </c>
      <c r="K19" s="193">
        <v>229.7</v>
      </c>
      <c r="L19" s="193">
        <v>219.3</v>
      </c>
      <c r="M19" s="193">
        <v>203.1</v>
      </c>
      <c r="N19" s="193">
        <v>222.2</v>
      </c>
      <c r="O19" s="48">
        <f>SUM(C19:N19)</f>
        <v>2315</v>
      </c>
    </row>
    <row r="20" spans="2:16" s="148" customFormat="1" ht="14" customHeight="1" x14ac:dyDescent="0.25">
      <c r="B20" s="41">
        <v>2023</v>
      </c>
      <c r="C20" s="44">
        <v>144.6</v>
      </c>
      <c r="D20" s="44">
        <v>161.80000000000001</v>
      </c>
      <c r="E20" s="193">
        <v>198.7</v>
      </c>
      <c r="F20" s="193">
        <v>177.7</v>
      </c>
      <c r="G20" s="193">
        <v>199.7</v>
      </c>
      <c r="H20" s="193">
        <v>223.6</v>
      </c>
      <c r="I20" s="193">
        <v>206.5</v>
      </c>
      <c r="J20" s="193">
        <v>223.7</v>
      </c>
      <c r="K20" s="193">
        <v>244.9</v>
      </c>
      <c r="L20" s="193">
        <v>244.5</v>
      </c>
      <c r="M20" s="193">
        <v>254.9</v>
      </c>
      <c r="N20" s="193">
        <v>273.7</v>
      </c>
      <c r="O20" s="48">
        <v>2556.9</v>
      </c>
    </row>
    <row r="21" spans="2:16" s="148" customFormat="1" ht="14" customHeight="1" x14ac:dyDescent="0.25">
      <c r="B21" s="41">
        <v>2024</v>
      </c>
      <c r="C21" s="44">
        <v>208.9</v>
      </c>
      <c r="D21" s="44">
        <v>130.30000000000001</v>
      </c>
      <c r="E21" s="193">
        <v>219.5</v>
      </c>
      <c r="F21" s="148">
        <v>197.8</v>
      </c>
      <c r="G21" s="193">
        <v>203.1</v>
      </c>
      <c r="H21" s="193">
        <v>216.9</v>
      </c>
      <c r="I21" s="193">
        <v>196.6</v>
      </c>
      <c r="J21" s="193">
        <v>214.6</v>
      </c>
      <c r="K21" s="193">
        <v>250.4</v>
      </c>
      <c r="L21" s="193">
        <v>273.2</v>
      </c>
      <c r="M21" s="193">
        <v>297</v>
      </c>
      <c r="N21" s="193">
        <v>306.39999999999998</v>
      </c>
      <c r="O21" s="174">
        <v>2719.1</v>
      </c>
    </row>
    <row r="22" spans="2:16" s="148" customFormat="1" ht="14" customHeight="1" x14ac:dyDescent="0.25">
      <c r="B22" s="41">
        <v>2025</v>
      </c>
      <c r="C22" s="44">
        <v>210.3</v>
      </c>
      <c r="D22" s="44">
        <v>176.7</v>
      </c>
      <c r="E22" s="193">
        <v>241.7</v>
      </c>
      <c r="F22" s="148">
        <v>219.9</v>
      </c>
      <c r="G22" s="193">
        <v>231.8</v>
      </c>
      <c r="H22" s="193">
        <v>249</v>
      </c>
      <c r="I22" s="193">
        <v>224.3</v>
      </c>
      <c r="J22" s="193">
        <v>245.8</v>
      </c>
      <c r="K22" s="193">
        <v>280.3</v>
      </c>
      <c r="L22" s="193">
        <v>295.2</v>
      </c>
      <c r="M22" s="193">
        <v>299.8</v>
      </c>
      <c r="N22" s="193">
        <v>278.89999999999998</v>
      </c>
      <c r="O22" s="174">
        <v>2955.4</v>
      </c>
    </row>
    <row r="23" spans="2:16" s="148" customFormat="1" ht="14" customHeight="1" x14ac:dyDescent="0.25">
      <c r="B23" s="59" t="s">
        <v>116</v>
      </c>
      <c r="C23" s="60">
        <f t="shared" ref="C23:N23" si="3">C22/C21-1</f>
        <v>6.7017711823840198E-3</v>
      </c>
      <c r="D23" s="60">
        <f t="shared" si="3"/>
        <v>0.35610130468150403</v>
      </c>
      <c r="E23" s="60">
        <f t="shared" si="3"/>
        <v>0.10113895216400914</v>
      </c>
      <c r="F23" s="60">
        <f t="shared" si="3"/>
        <v>0.1117290192113245</v>
      </c>
      <c r="G23" s="60">
        <f t="shared" si="3"/>
        <v>0.14130969965534224</v>
      </c>
      <c r="H23" s="60">
        <f t="shared" si="3"/>
        <v>0.1479944674965421</v>
      </c>
      <c r="I23" s="60">
        <f t="shared" si="3"/>
        <v>0.14089521871820976</v>
      </c>
      <c r="J23" s="60">
        <f t="shared" si="3"/>
        <v>0.14538676607642143</v>
      </c>
      <c r="K23" s="60">
        <f t="shared" si="3"/>
        <v>0.11940894568690097</v>
      </c>
      <c r="L23" s="60">
        <f t="shared" si="3"/>
        <v>8.0527086383601842E-2</v>
      </c>
      <c r="M23" s="60">
        <f t="shared" si="3"/>
        <v>9.4276094276095623E-3</v>
      </c>
      <c r="N23" s="60">
        <f t="shared" si="3"/>
        <v>-8.9751958224543071E-2</v>
      </c>
      <c r="O23" s="60">
        <f>O22/O21-1</f>
        <v>8.6903754918907117E-2</v>
      </c>
      <c r="P23" s="193"/>
    </row>
    <row r="24" spans="2:16" s="148" customFormat="1" ht="14" customHeight="1" x14ac:dyDescent="0.25">
      <c r="B24" s="59" t="s">
        <v>117</v>
      </c>
      <c r="C24" s="60">
        <f>C22/N21-1</f>
        <v>-0.31364229765013041</v>
      </c>
      <c r="D24" s="60">
        <f t="shared" ref="D24:N24" si="4">D22/C22-1</f>
        <v>-0.15977175463623405</v>
      </c>
      <c r="E24" s="60">
        <f t="shared" si="4"/>
        <v>0.36785512167515555</v>
      </c>
      <c r="F24" s="60">
        <f t="shared" si="4"/>
        <v>-9.0194455937112061E-2</v>
      </c>
      <c r="G24" s="60">
        <f t="shared" si="4"/>
        <v>5.4115507048658529E-2</v>
      </c>
      <c r="H24" s="60">
        <f t="shared" si="4"/>
        <v>7.4201898188093196E-2</v>
      </c>
      <c r="I24" s="60">
        <f t="shared" si="4"/>
        <v>-9.9196787148594368E-2</v>
      </c>
      <c r="J24" s="60">
        <f t="shared" si="4"/>
        <v>9.5853767275969615E-2</v>
      </c>
      <c r="K24" s="60">
        <f t="shared" si="4"/>
        <v>0.14035801464605369</v>
      </c>
      <c r="L24" s="60">
        <f t="shared" si="4"/>
        <v>5.3157331430609966E-2</v>
      </c>
      <c r="M24" s="60">
        <f t="shared" si="4"/>
        <v>1.5582655826558378E-2</v>
      </c>
      <c r="N24" s="60">
        <f t="shared" si="4"/>
        <v>-6.9713142094729896E-2</v>
      </c>
      <c r="O24" s="60"/>
      <c r="P24" s="193"/>
    </row>
    <row r="25" spans="2:16" s="148" customFormat="1" ht="14" customHeight="1" x14ac:dyDescent="0.25">
      <c r="B25" s="41">
        <v>2026</v>
      </c>
      <c r="C25" s="44">
        <v>197.3</v>
      </c>
      <c r="D25" s="44">
        <v>151.80000000000001</v>
      </c>
      <c r="E25" s="193">
        <v>237.8</v>
      </c>
      <c r="F25" s="193">
        <v>211</v>
      </c>
      <c r="G25" s="193">
        <v>221.2</v>
      </c>
      <c r="H25" s="193"/>
      <c r="I25" s="193"/>
      <c r="J25" s="193"/>
      <c r="K25" s="193"/>
      <c r="L25" s="193"/>
      <c r="M25" s="193"/>
      <c r="N25" s="193"/>
      <c r="O25" s="57"/>
    </row>
    <row r="26" spans="2:16" s="148" customFormat="1" ht="14" customHeight="1" x14ac:dyDescent="0.25">
      <c r="B26" s="176" t="s">
        <v>118</v>
      </c>
      <c r="C26" s="167">
        <f>C25/C22-1</f>
        <v>-6.1816452686638157E-2</v>
      </c>
      <c r="D26" s="167">
        <f>D25/D22-1</f>
        <v>-0.14091680814940566</v>
      </c>
      <c r="E26" s="167">
        <f>E25/E22-1</f>
        <v>-1.6135705419942026E-2</v>
      </c>
      <c r="F26" s="167">
        <f>F25/F22-1</f>
        <v>-4.0472942246475685E-2</v>
      </c>
      <c r="G26" s="167">
        <f>G25/G22-1</f>
        <v>-4.5729076790336554E-2</v>
      </c>
      <c r="H26" s="167"/>
      <c r="I26" s="167"/>
      <c r="J26" s="167"/>
      <c r="K26" s="167"/>
      <c r="L26" s="167"/>
      <c r="M26" s="167"/>
      <c r="N26" s="167"/>
      <c r="O26" s="167"/>
    </row>
    <row r="27" spans="2:16" s="148" customFormat="1" ht="14" customHeight="1" x14ac:dyDescent="0.25">
      <c r="B27" s="176" t="s">
        <v>48</v>
      </c>
      <c r="C27" s="177">
        <f>C25/N22-1</f>
        <v>-0.29257798494083886</v>
      </c>
      <c r="D27" s="167">
        <f>D25/C25-1</f>
        <v>-0.23061327927014696</v>
      </c>
      <c r="E27" s="167">
        <f>E25/D25-1</f>
        <v>0.56653491436100123</v>
      </c>
      <c r="F27" s="167">
        <f>F25/E25-1</f>
        <v>-0.11269974768713209</v>
      </c>
      <c r="G27" s="167">
        <f>G25/F25-1</f>
        <v>4.8341232227488096E-2</v>
      </c>
      <c r="H27" s="167"/>
      <c r="I27" s="167"/>
      <c r="J27" s="167"/>
      <c r="K27" s="167"/>
      <c r="L27" s="167"/>
      <c r="M27" s="167"/>
      <c r="N27" s="167"/>
      <c r="O27" s="137"/>
    </row>
    <row r="28" spans="2:16" s="148" customFormat="1" ht="14" customHeight="1" x14ac:dyDescent="0.25">
      <c r="P28" s="193"/>
    </row>
    <row r="29" spans="2:16" s="148" customFormat="1" ht="14" customHeight="1" x14ac:dyDescent="0.25">
      <c r="B29" s="55" t="s">
        <v>110</v>
      </c>
      <c r="C29" s="56" t="s">
        <v>49</v>
      </c>
      <c r="D29" s="56" t="s">
        <v>50</v>
      </c>
      <c r="E29" s="56" t="s">
        <v>51</v>
      </c>
      <c r="F29" s="56" t="s">
        <v>52</v>
      </c>
      <c r="G29" s="56" t="s">
        <v>53</v>
      </c>
      <c r="H29" s="56" t="s">
        <v>54</v>
      </c>
      <c r="I29" s="56" t="s">
        <v>55</v>
      </c>
      <c r="J29" s="56" t="s">
        <v>56</v>
      </c>
      <c r="K29" s="56" t="s">
        <v>57</v>
      </c>
      <c r="L29" s="56" t="s">
        <v>58</v>
      </c>
      <c r="M29" s="56" t="s">
        <v>59</v>
      </c>
      <c r="N29" s="56" t="s">
        <v>60</v>
      </c>
      <c r="O29" s="56" t="s">
        <v>38</v>
      </c>
      <c r="P29" s="193"/>
    </row>
    <row r="30" spans="2:16" s="148" customFormat="1" ht="14" customHeight="1" x14ac:dyDescent="0.25">
      <c r="B30" s="41">
        <v>2021</v>
      </c>
      <c r="C30" s="45">
        <f t="shared" ref="C30:O30" si="5">C6/C18</f>
        <v>8.3874139626352012E-2</v>
      </c>
      <c r="D30" s="45">
        <f t="shared" si="5"/>
        <v>8.7150828247602438E-2</v>
      </c>
      <c r="E30" s="45">
        <f t="shared" si="5"/>
        <v>0.10962344004340749</v>
      </c>
      <c r="F30" s="45">
        <f t="shared" si="5"/>
        <v>0.11107344972907887</v>
      </c>
      <c r="G30" s="45">
        <f t="shared" si="5"/>
        <v>0.12338547486033521</v>
      </c>
      <c r="H30" s="45">
        <f t="shared" si="5"/>
        <v>0.15180831708901882</v>
      </c>
      <c r="I30" s="45">
        <f t="shared" si="5"/>
        <v>0.16200791556728233</v>
      </c>
      <c r="J30" s="45">
        <f t="shared" si="5"/>
        <v>0.20435069215557022</v>
      </c>
      <c r="K30" s="45">
        <f t="shared" si="5"/>
        <v>0.20421301093839955</v>
      </c>
      <c r="L30" s="45">
        <f t="shared" si="5"/>
        <v>0.18480091185410336</v>
      </c>
      <c r="M30" s="45">
        <f t="shared" si="5"/>
        <v>0.19937720930232561</v>
      </c>
      <c r="N30" s="45">
        <f t="shared" si="5"/>
        <v>0.21335023236163922</v>
      </c>
      <c r="O30" s="45">
        <f t="shared" si="5"/>
        <v>0.15634613196814565</v>
      </c>
    </row>
    <row r="31" spans="2:16" s="148" customFormat="1" ht="14" customHeight="1" x14ac:dyDescent="0.25">
      <c r="B31" s="41">
        <v>2022</v>
      </c>
      <c r="C31" s="45">
        <f t="shared" ref="C31:D34" si="6">C7/C19</f>
        <v>0.19082908754052802</v>
      </c>
      <c r="D31" s="45">
        <f t="shared" si="6"/>
        <v>0.21594005449591278</v>
      </c>
      <c r="E31" s="45">
        <v>0.251</v>
      </c>
      <c r="F31" s="45">
        <v>0.29599999999999999</v>
      </c>
      <c r="G31" s="45">
        <f t="shared" ref="G31:O31" si="7">G7/G19</f>
        <v>0.26524198617221878</v>
      </c>
      <c r="H31" s="45">
        <f t="shared" si="7"/>
        <v>0.26084970306075833</v>
      </c>
      <c r="I31" s="45">
        <f t="shared" si="7"/>
        <v>0.26429240862230552</v>
      </c>
      <c r="J31" s="45">
        <f t="shared" si="7"/>
        <v>0.30095238095238097</v>
      </c>
      <c r="K31" s="45">
        <f t="shared" si="7"/>
        <v>0.29386155855463647</v>
      </c>
      <c r="L31" s="45">
        <f t="shared" si="7"/>
        <v>0.30825353397172817</v>
      </c>
      <c r="M31" s="45">
        <f t="shared" si="7"/>
        <v>0.35844411619891681</v>
      </c>
      <c r="N31" s="45">
        <f t="shared" si="7"/>
        <v>0.33753375337533753</v>
      </c>
      <c r="O31" s="45">
        <f t="shared" si="7"/>
        <v>0.28004319654427645</v>
      </c>
    </row>
    <row r="32" spans="2:16" s="148" customFormat="1" ht="14" customHeight="1" x14ac:dyDescent="0.25">
      <c r="B32" s="41">
        <v>2023</v>
      </c>
      <c r="C32" s="45">
        <f t="shared" si="6"/>
        <v>0.26763485477178428</v>
      </c>
      <c r="D32" s="45">
        <f t="shared" si="6"/>
        <v>0.30655129789864027</v>
      </c>
      <c r="E32" s="45">
        <f t="shared" ref="E32:I34" si="8">E8/E20</f>
        <v>0.31051836940110722</v>
      </c>
      <c r="F32" s="45">
        <f t="shared" si="8"/>
        <v>0.34158694428812608</v>
      </c>
      <c r="G32" s="45">
        <f t="shared" si="8"/>
        <v>0.33700550826239362</v>
      </c>
      <c r="H32" s="45">
        <f t="shared" si="8"/>
        <v>0.34033989266547404</v>
      </c>
      <c r="I32" s="45">
        <f t="shared" si="8"/>
        <v>0.35690072639225184</v>
      </c>
      <c r="J32" s="45">
        <v>0.35699999999999998</v>
      </c>
      <c r="K32" s="45">
        <v>0.33900000000000002</v>
      </c>
      <c r="L32" s="45">
        <v>0.36199999999999999</v>
      </c>
      <c r="M32" s="45">
        <v>0.377</v>
      </c>
      <c r="N32" s="45">
        <f t="shared" ref="N32:O34" si="9">N8/N20</f>
        <v>0.40738034344172452</v>
      </c>
      <c r="O32" s="45">
        <f t="shared" si="9"/>
        <v>0.34702178419179475</v>
      </c>
    </row>
    <row r="33" spans="2:15" s="148" customFormat="1" ht="14" customHeight="1" x14ac:dyDescent="0.25">
      <c r="B33" s="41">
        <v>2024</v>
      </c>
      <c r="C33" s="45">
        <f t="shared" si="6"/>
        <v>0.32647199617041645</v>
      </c>
      <c r="D33" s="45">
        <f t="shared" si="6"/>
        <v>0.34305448963929391</v>
      </c>
      <c r="E33" s="45">
        <f t="shared" si="8"/>
        <v>0.3712984054669704</v>
      </c>
      <c r="F33" s="45">
        <f t="shared" si="8"/>
        <v>0.40849342770475222</v>
      </c>
      <c r="G33" s="45">
        <f t="shared" si="8"/>
        <v>0.44165435745937964</v>
      </c>
      <c r="H33" s="45">
        <f t="shared" si="8"/>
        <v>0.45320424158598432</v>
      </c>
      <c r="I33" s="45">
        <f t="shared" si="8"/>
        <v>0.48067141403865721</v>
      </c>
      <c r="J33" s="45">
        <f t="shared" ref="J33:M34" si="10">J9/J21</f>
        <v>0.48928238583410999</v>
      </c>
      <c r="K33" s="45">
        <f t="shared" si="10"/>
        <v>0.4916134185303514</v>
      </c>
      <c r="L33" s="45">
        <f t="shared" si="10"/>
        <v>0.50109809663250371</v>
      </c>
      <c r="M33" s="45">
        <f t="shared" si="10"/>
        <v>0.48484848484848486</v>
      </c>
      <c r="N33" s="45">
        <f t="shared" si="9"/>
        <v>0.49347258485639689</v>
      </c>
      <c r="O33" s="45">
        <f t="shared" si="9"/>
        <v>0.44978117759552794</v>
      </c>
    </row>
    <row r="34" spans="2:15" s="148" customFormat="1" ht="14" customHeight="1" x14ac:dyDescent="0.25">
      <c r="B34" s="41">
        <v>2025</v>
      </c>
      <c r="C34" s="45">
        <f t="shared" si="6"/>
        <v>0.42272943414170233</v>
      </c>
      <c r="D34" s="45">
        <f t="shared" si="6"/>
        <v>0.47085455574419927</v>
      </c>
      <c r="E34" s="45">
        <f t="shared" si="8"/>
        <v>0.46793545717832025</v>
      </c>
      <c r="F34" s="45">
        <f t="shared" si="8"/>
        <v>0.517962710322874</v>
      </c>
      <c r="G34" s="45">
        <f t="shared" si="8"/>
        <v>0.52717860224331314</v>
      </c>
      <c r="H34" s="45">
        <f t="shared" si="8"/>
        <v>0.49839357429718872</v>
      </c>
      <c r="I34" s="45">
        <f t="shared" si="8"/>
        <v>0.52920196165849309</v>
      </c>
      <c r="J34" s="45">
        <f t="shared" si="10"/>
        <v>0.52156224572823429</v>
      </c>
      <c r="K34" s="45">
        <f t="shared" si="10"/>
        <v>0.53514092044238315</v>
      </c>
      <c r="L34" s="45">
        <f t="shared" si="10"/>
        <v>0.54607046070460707</v>
      </c>
      <c r="M34" s="45">
        <f t="shared" si="10"/>
        <v>0.56904603068712467</v>
      </c>
      <c r="N34" s="45">
        <f t="shared" si="9"/>
        <v>0.56041591968447479</v>
      </c>
      <c r="O34" s="45">
        <f t="shared" si="9"/>
        <v>0.51833931109156117</v>
      </c>
    </row>
    <row r="35" spans="2:15" s="148" customFormat="1" ht="14" customHeight="1" x14ac:dyDescent="0.25">
      <c r="B35" s="41">
        <v>2026</v>
      </c>
      <c r="C35" s="45">
        <f>C13/C25</f>
        <v>0.43943233654333502</v>
      </c>
      <c r="D35" s="45">
        <f>D13/D25</f>
        <v>0.47628458498023712</v>
      </c>
      <c r="E35" s="45">
        <f>E13/E25</f>
        <v>0.48107653490328006</v>
      </c>
      <c r="F35" s="45">
        <f>F13/F25</f>
        <v>0.58056872037914697</v>
      </c>
      <c r="G35" s="45">
        <f>G13/G25</f>
        <v>0.61121157323688968</v>
      </c>
      <c r="H35" s="45"/>
      <c r="I35" s="45"/>
      <c r="J35" s="45"/>
      <c r="K35" s="45"/>
      <c r="L35" s="45"/>
      <c r="M35" s="45"/>
      <c r="N35" s="45"/>
      <c r="O35" s="45"/>
    </row>
    <row r="36" spans="2:15" s="148" customFormat="1" ht="14" customHeight="1" x14ac:dyDescent="0.25">
      <c r="B36" s="51"/>
    </row>
    <row r="37" spans="2:15" s="148" customFormat="1" ht="14" customHeight="1" x14ac:dyDescent="0.25">
      <c r="B37" s="61" t="s">
        <v>167</v>
      </c>
      <c r="C37" s="192"/>
      <c r="D37" s="192"/>
      <c r="E37" s="192"/>
      <c r="F37" s="192"/>
      <c r="G37" s="192"/>
      <c r="H37" s="192"/>
      <c r="I37" s="192"/>
      <c r="J37" s="192"/>
      <c r="K37" s="192"/>
      <c r="L37" s="192"/>
      <c r="M37" s="192"/>
      <c r="N37" s="192"/>
      <c r="O37" s="192"/>
    </row>
    <row r="38" spans="2:15" s="148" customFormat="1" ht="14" customHeight="1" x14ac:dyDescent="0.25">
      <c r="B38" s="55" t="s">
        <v>111</v>
      </c>
      <c r="C38" s="56" t="s">
        <v>49</v>
      </c>
      <c r="D38" s="56" t="s">
        <v>50</v>
      </c>
      <c r="E38" s="56" t="s">
        <v>51</v>
      </c>
      <c r="F38" s="56" t="s">
        <v>52</v>
      </c>
      <c r="G38" s="56" t="s">
        <v>53</v>
      </c>
      <c r="H38" s="56" t="s">
        <v>54</v>
      </c>
      <c r="I38" s="56" t="s">
        <v>55</v>
      </c>
      <c r="J38" s="56" t="s">
        <v>56</v>
      </c>
      <c r="K38" s="56" t="s">
        <v>57</v>
      </c>
      <c r="L38" s="56" t="s">
        <v>58</v>
      </c>
      <c r="M38" s="56" t="s">
        <v>59</v>
      </c>
      <c r="N38" s="56" t="s">
        <v>60</v>
      </c>
      <c r="O38" s="56" t="s">
        <v>38</v>
      </c>
    </row>
    <row r="39" spans="2:15" s="148" customFormat="1" ht="14" customHeight="1" x14ac:dyDescent="0.25">
      <c r="B39" s="41">
        <v>2019</v>
      </c>
      <c r="C39" s="44">
        <v>9.5879999999999992</v>
      </c>
      <c r="D39" s="44">
        <v>4.6505000000000001</v>
      </c>
      <c r="E39" s="44">
        <v>10.5502</v>
      </c>
      <c r="F39" s="44">
        <v>8.5535999999999994</v>
      </c>
      <c r="G39" s="44">
        <v>9.3704000000000001</v>
      </c>
      <c r="H39" s="44">
        <v>13.8421</v>
      </c>
      <c r="I39" s="44">
        <v>6.5457000000000001</v>
      </c>
      <c r="J39" s="44">
        <v>6.4551999999999996</v>
      </c>
      <c r="K39" s="44">
        <v>6.1818</v>
      </c>
      <c r="L39" s="44">
        <v>6.3028000000000004</v>
      </c>
      <c r="M39" s="44">
        <v>7.1223000000000001</v>
      </c>
      <c r="N39" s="44">
        <v>13.0679</v>
      </c>
      <c r="O39" s="43">
        <f>SUM(C39:N39)</f>
        <v>102.23049999999999</v>
      </c>
    </row>
    <row r="40" spans="2:15" s="148" customFormat="1" ht="14" customHeight="1" x14ac:dyDescent="0.25">
      <c r="B40" s="41">
        <v>2020</v>
      </c>
      <c r="C40" s="44">
        <v>4.0827</v>
      </c>
      <c r="D40" s="44">
        <v>1.4249000000000001</v>
      </c>
      <c r="E40" s="44">
        <v>5.4353999999999996</v>
      </c>
      <c r="F40" s="44">
        <v>5.5751999999999997</v>
      </c>
      <c r="G40" s="44">
        <v>6.6757999999999997</v>
      </c>
      <c r="H40" s="44">
        <v>8.3277999999999999</v>
      </c>
      <c r="I40" s="44">
        <v>8.2568000000000001</v>
      </c>
      <c r="J40" s="44">
        <v>9.3297000000000008</v>
      </c>
      <c r="K40" s="44">
        <v>11.041600000000001</v>
      </c>
      <c r="L40" s="44">
        <v>13.314500000000001</v>
      </c>
      <c r="M40" s="44">
        <v>17.036100000000001</v>
      </c>
      <c r="N40" s="44">
        <v>20.786999999999999</v>
      </c>
      <c r="O40" s="43">
        <f>SUM(C40:N40)</f>
        <v>111.28749999999999</v>
      </c>
    </row>
    <row r="41" spans="2:15" s="148" customFormat="1" ht="14" customHeight="1" x14ac:dyDescent="0.25">
      <c r="B41" s="41">
        <v>2021</v>
      </c>
      <c r="C41" s="44">
        <v>15.5388</v>
      </c>
      <c r="D41" s="44">
        <v>9.7058999999999997</v>
      </c>
      <c r="E41" s="44">
        <v>18.532800000000002</v>
      </c>
      <c r="F41" s="44">
        <v>16.1418</v>
      </c>
      <c r="G41" s="44">
        <v>18.7316</v>
      </c>
      <c r="H41" s="44">
        <v>22.9634</v>
      </c>
      <c r="I41" s="44">
        <v>22.223299999999998</v>
      </c>
      <c r="J41" s="44">
        <v>24.9588</v>
      </c>
      <c r="K41" s="44">
        <v>33.353200000000001</v>
      </c>
      <c r="L41" s="44">
        <v>31.7029</v>
      </c>
      <c r="M41" s="44">
        <v>37.848700000000001</v>
      </c>
      <c r="N41" s="44">
        <v>47.488700000000001</v>
      </c>
      <c r="O41" s="43">
        <f t="shared" ref="O41:O42" si="11">SUM(C41:N41)</f>
        <v>299.18990000000002</v>
      </c>
    </row>
    <row r="42" spans="2:15" s="148" customFormat="1" ht="14" customHeight="1" x14ac:dyDescent="0.25">
      <c r="B42" s="41">
        <v>2022</v>
      </c>
      <c r="C42" s="44">
        <v>35.200000000000003</v>
      </c>
      <c r="D42" s="44">
        <v>27.3</v>
      </c>
      <c r="E42" s="44">
        <v>44.5</v>
      </c>
      <c r="F42" s="44">
        <v>28.2</v>
      </c>
      <c r="G42" s="44">
        <v>36</v>
      </c>
      <c r="H42" s="44">
        <v>53.1</v>
      </c>
      <c r="I42" s="44">
        <v>48.6</v>
      </c>
      <c r="J42" s="63">
        <v>53</v>
      </c>
      <c r="K42" s="63">
        <v>61.1</v>
      </c>
      <c r="L42" s="63">
        <v>55.6</v>
      </c>
      <c r="M42" s="44">
        <v>59.8</v>
      </c>
      <c r="N42" s="44">
        <v>64</v>
      </c>
      <c r="O42" s="43">
        <f t="shared" si="11"/>
        <v>566.40000000000009</v>
      </c>
    </row>
    <row r="43" spans="2:15" s="148" customFormat="1" ht="14" customHeight="1" x14ac:dyDescent="0.25">
      <c r="B43" s="41">
        <v>2023</v>
      </c>
      <c r="C43" s="44">
        <v>33.200000000000003</v>
      </c>
      <c r="D43" s="44">
        <v>43.9</v>
      </c>
      <c r="E43" s="44">
        <v>54.6</v>
      </c>
      <c r="F43" s="44">
        <v>52.7</v>
      </c>
      <c r="G43" s="44">
        <v>58</v>
      </c>
      <c r="H43" s="44">
        <v>66.5</v>
      </c>
      <c r="I43" s="44">
        <v>64.099999999999994</v>
      </c>
      <c r="J43" s="63">
        <v>71.599999999999994</v>
      </c>
      <c r="K43" s="63">
        <v>74.599999999999994</v>
      </c>
      <c r="L43" s="63">
        <v>76.7</v>
      </c>
      <c r="M43" s="44">
        <v>84.1</v>
      </c>
      <c r="N43" s="44">
        <v>94.5</v>
      </c>
      <c r="O43" s="43">
        <v>774.4</v>
      </c>
    </row>
    <row r="44" spans="2:15" s="148" customFormat="1" ht="14" customHeight="1" x14ac:dyDescent="0.25">
      <c r="B44" s="41">
        <v>2024</v>
      </c>
      <c r="C44" s="44">
        <v>66.8</v>
      </c>
      <c r="D44" s="44">
        <v>38.799999999999997</v>
      </c>
      <c r="E44" s="44">
        <v>70.900000000000006</v>
      </c>
      <c r="F44" s="44">
        <v>67.400000000000006</v>
      </c>
      <c r="G44" s="44">
        <v>80.400000000000006</v>
      </c>
      <c r="H44" s="44">
        <v>85.7</v>
      </c>
      <c r="I44" s="44">
        <v>87.8</v>
      </c>
      <c r="J44" s="63">
        <v>102.5</v>
      </c>
      <c r="K44" s="63">
        <v>112.3</v>
      </c>
      <c r="L44" s="63">
        <v>119.6</v>
      </c>
      <c r="M44" s="44">
        <v>126.7</v>
      </c>
      <c r="N44" s="44">
        <v>130.30000000000001</v>
      </c>
      <c r="O44" s="57">
        <v>1089.9000000000001</v>
      </c>
    </row>
    <row r="45" spans="2:15" s="148" customFormat="1" ht="14" customHeight="1" x14ac:dyDescent="0.25">
      <c r="B45" s="41">
        <v>2025</v>
      </c>
      <c r="C45" s="44">
        <v>74.400000000000006</v>
      </c>
      <c r="D45" s="44">
        <v>68.3</v>
      </c>
      <c r="E45" s="44">
        <v>99.1</v>
      </c>
      <c r="F45" s="44">
        <v>91.1</v>
      </c>
      <c r="G45" s="44">
        <v>102.7</v>
      </c>
      <c r="H45" s="44">
        <v>111.2</v>
      </c>
      <c r="I45" s="44">
        <v>98.7</v>
      </c>
      <c r="J45" s="63">
        <v>111.5</v>
      </c>
      <c r="K45" s="63">
        <v>129.6</v>
      </c>
      <c r="L45" s="63">
        <v>128.19999999999999</v>
      </c>
      <c r="M45" s="44">
        <v>132.1</v>
      </c>
      <c r="N45" s="44">
        <v>133.69999999999999</v>
      </c>
      <c r="O45" s="57">
        <v>1280.9000000000001</v>
      </c>
    </row>
    <row r="46" spans="2:15" s="148" customFormat="1" ht="14" customHeight="1" x14ac:dyDescent="0.25">
      <c r="B46" s="58" t="s">
        <v>118</v>
      </c>
      <c r="C46" s="64">
        <f t="shared" ref="C46:L46" si="12">C45/C44-1</f>
        <v>0.11377245508982048</v>
      </c>
      <c r="D46" s="64">
        <f t="shared" si="12"/>
        <v>0.76030927835051543</v>
      </c>
      <c r="E46" s="64">
        <f t="shared" si="12"/>
        <v>0.397743300423131</v>
      </c>
      <c r="F46" s="64">
        <f t="shared" si="12"/>
        <v>0.35163204747774457</v>
      </c>
      <c r="G46" s="64">
        <f t="shared" si="12"/>
        <v>0.27736318407960203</v>
      </c>
      <c r="H46" s="64">
        <f t="shared" si="12"/>
        <v>0.29754959159859973</v>
      </c>
      <c r="I46" s="64">
        <f t="shared" si="12"/>
        <v>0.12414578587699321</v>
      </c>
      <c r="J46" s="64">
        <f t="shared" si="12"/>
        <v>8.7804878048780566E-2</v>
      </c>
      <c r="K46" s="64">
        <f t="shared" si="12"/>
        <v>0.15405164737310773</v>
      </c>
      <c r="L46" s="64">
        <f t="shared" si="12"/>
        <v>7.190635451505023E-2</v>
      </c>
      <c r="M46" s="64">
        <f>M45/M44-1</f>
        <v>4.262036306235184E-2</v>
      </c>
      <c r="N46" s="64">
        <f>N45/N44-1</f>
        <v>2.6093630084420338E-2</v>
      </c>
      <c r="O46" s="195"/>
    </row>
    <row r="47" spans="2:15" s="148" customFormat="1" ht="14" customHeight="1" x14ac:dyDescent="0.25">
      <c r="B47" s="58" t="s">
        <v>48</v>
      </c>
      <c r="C47" s="64">
        <f>C45/N44-1</f>
        <v>-0.4290099769762088</v>
      </c>
      <c r="D47" s="64">
        <f t="shared" ref="D47:L47" si="13">D45/C45-1</f>
        <v>-8.1989247311828106E-2</v>
      </c>
      <c r="E47" s="64">
        <f t="shared" si="13"/>
        <v>0.45095168374816974</v>
      </c>
      <c r="F47" s="64">
        <f t="shared" si="13"/>
        <v>-8.0726538849646867E-2</v>
      </c>
      <c r="G47" s="64">
        <f t="shared" si="13"/>
        <v>0.12733260153677284</v>
      </c>
      <c r="H47" s="64">
        <f t="shared" si="13"/>
        <v>8.2765335929892991E-2</v>
      </c>
      <c r="I47" s="64">
        <f t="shared" si="13"/>
        <v>-0.11241007194244601</v>
      </c>
      <c r="J47" s="64">
        <f t="shared" si="13"/>
        <v>0.12968591691995934</v>
      </c>
      <c r="K47" s="64">
        <f t="shared" si="13"/>
        <v>0.16233183856502231</v>
      </c>
      <c r="L47" s="64">
        <f t="shared" si="13"/>
        <v>-1.0802469135802517E-2</v>
      </c>
      <c r="M47" s="64">
        <f>M45/L45-1</f>
        <v>3.0421216848673938E-2</v>
      </c>
      <c r="N47" s="64">
        <f>N45/M45-1</f>
        <v>1.2112036336108911E-2</v>
      </c>
      <c r="O47" s="195"/>
    </row>
    <row r="48" spans="2:15" s="148" customFormat="1" ht="14" customHeight="1" x14ac:dyDescent="0.25">
      <c r="B48" s="41">
        <v>2026</v>
      </c>
      <c r="C48" s="44">
        <v>59.6</v>
      </c>
      <c r="D48" s="44">
        <v>46.4</v>
      </c>
      <c r="E48" s="193">
        <v>85.2</v>
      </c>
      <c r="F48" s="193">
        <v>84.5</v>
      </c>
      <c r="G48" s="193">
        <v>95</v>
      </c>
      <c r="H48" s="193"/>
      <c r="I48" s="193"/>
      <c r="J48" s="193"/>
      <c r="K48" s="193"/>
      <c r="L48" s="193"/>
      <c r="M48" s="193"/>
      <c r="N48" s="193"/>
      <c r="O48" s="57"/>
    </row>
    <row r="49" spans="2:15" s="148" customFormat="1" ht="14" customHeight="1" x14ac:dyDescent="0.25">
      <c r="B49" s="176" t="s">
        <v>118</v>
      </c>
      <c r="C49" s="167">
        <f>C48/C45-1</f>
        <v>-0.19892473118279574</v>
      </c>
      <c r="D49" s="167">
        <f>D48/D45-1</f>
        <v>-0.3206442166910688</v>
      </c>
      <c r="E49" s="167">
        <f>E48/E45-1</f>
        <v>-0.14026236125126124</v>
      </c>
      <c r="F49" s="167">
        <f>F48/F45-1</f>
        <v>-7.2447859495060274E-2</v>
      </c>
      <c r="G49" s="167">
        <f t="shared" ref="G49" si="14">G48/G45-1</f>
        <v>-7.4975657254138239E-2</v>
      </c>
      <c r="H49" s="167"/>
      <c r="I49" s="167"/>
      <c r="J49" s="167"/>
      <c r="K49" s="167"/>
      <c r="L49" s="167"/>
      <c r="M49" s="167"/>
      <c r="N49" s="167"/>
      <c r="O49" s="167"/>
    </row>
    <row r="50" spans="2:15" s="148" customFormat="1" ht="14" customHeight="1" x14ac:dyDescent="0.25">
      <c r="B50" s="176" t="s">
        <v>48</v>
      </c>
      <c r="C50" s="177">
        <f>C48/N45-1</f>
        <v>-0.55422587883320862</v>
      </c>
      <c r="D50" s="167">
        <f>D48/C48-1</f>
        <v>-0.22147651006711411</v>
      </c>
      <c r="E50" s="167">
        <f>E48/D48-1</f>
        <v>0.8362068965517242</v>
      </c>
      <c r="F50" s="167">
        <f>F48/E48-1</f>
        <v>-8.2159624413146171E-3</v>
      </c>
      <c r="G50" s="167">
        <f t="shared" ref="G50" si="15">G48/F48-1</f>
        <v>0.12426035502958577</v>
      </c>
      <c r="H50" s="167"/>
      <c r="I50" s="167"/>
      <c r="J50" s="167"/>
      <c r="K50" s="167"/>
      <c r="L50" s="167"/>
      <c r="M50" s="167"/>
      <c r="N50" s="167"/>
      <c r="O50" s="137"/>
    </row>
    <row r="51" spans="2:15" s="148" customFormat="1" ht="14" customHeight="1" x14ac:dyDescent="0.25"/>
    <row r="52" spans="2:15" s="148" customFormat="1" ht="14" customHeight="1" x14ac:dyDescent="0.25">
      <c r="B52" s="55" t="s">
        <v>112</v>
      </c>
      <c r="C52" s="56" t="s">
        <v>49</v>
      </c>
      <c r="D52" s="56" t="s">
        <v>50</v>
      </c>
      <c r="E52" s="56" t="s">
        <v>51</v>
      </c>
      <c r="F52" s="56" t="s">
        <v>52</v>
      </c>
      <c r="G52" s="56" t="s">
        <v>53</v>
      </c>
      <c r="H52" s="56" t="s">
        <v>54</v>
      </c>
      <c r="I52" s="56" t="s">
        <v>55</v>
      </c>
      <c r="J52" s="56" t="s">
        <v>56</v>
      </c>
      <c r="K52" s="56" t="s">
        <v>57</v>
      </c>
      <c r="L52" s="56" t="s">
        <v>58</v>
      </c>
      <c r="M52" s="56" t="s">
        <v>59</v>
      </c>
      <c r="N52" s="56" t="s">
        <v>60</v>
      </c>
      <c r="O52" s="56" t="s">
        <v>38</v>
      </c>
    </row>
    <row r="53" spans="2:15" s="148" customFormat="1" ht="14" customHeight="1" x14ac:dyDescent="0.25">
      <c r="B53" s="41">
        <v>2021</v>
      </c>
      <c r="C53" s="193">
        <v>218.7</v>
      </c>
      <c r="D53" s="193">
        <v>119.6</v>
      </c>
      <c r="E53" s="193">
        <v>176.4</v>
      </c>
      <c r="F53" s="193">
        <v>161.6</v>
      </c>
      <c r="G53" s="193">
        <v>162.9</v>
      </c>
      <c r="H53" s="193">
        <v>158.4</v>
      </c>
      <c r="I53" s="193">
        <v>151</v>
      </c>
      <c r="J53" s="193">
        <v>145.19999999999999</v>
      </c>
      <c r="K53" s="193">
        <v>158.19999999999999</v>
      </c>
      <c r="L53" s="193">
        <v>171.4</v>
      </c>
      <c r="M53" s="193">
        <v>181.6</v>
      </c>
      <c r="N53" s="193">
        <v>210.5</v>
      </c>
      <c r="O53" s="196">
        <f t="shared" ref="O53:O54" si="16">SUM(C53:N53)</f>
        <v>2015.5</v>
      </c>
    </row>
    <row r="54" spans="2:15" s="148" customFormat="1" ht="14" customHeight="1" x14ac:dyDescent="0.25">
      <c r="B54" s="41">
        <v>2022</v>
      </c>
      <c r="C54" s="193">
        <v>207.9</v>
      </c>
      <c r="D54" s="193">
        <v>125.8</v>
      </c>
      <c r="E54" s="193">
        <v>158</v>
      </c>
      <c r="F54" s="193">
        <v>104.7</v>
      </c>
      <c r="G54" s="193">
        <v>135.5</v>
      </c>
      <c r="H54" s="193">
        <v>194.4</v>
      </c>
      <c r="I54" s="193">
        <v>181.8</v>
      </c>
      <c r="J54" s="193">
        <v>187.4</v>
      </c>
      <c r="K54" s="193">
        <v>192.3</v>
      </c>
      <c r="L54" s="193">
        <v>184.3</v>
      </c>
      <c r="M54" s="193">
        <v>165</v>
      </c>
      <c r="N54" s="193">
        <v>216.9</v>
      </c>
      <c r="O54" s="196">
        <f t="shared" si="16"/>
        <v>2054</v>
      </c>
    </row>
    <row r="55" spans="2:15" s="148" customFormat="1" ht="14" customHeight="1" x14ac:dyDescent="0.25">
      <c r="B55" s="41">
        <v>2023</v>
      </c>
      <c r="C55" s="193">
        <v>129.30000000000001</v>
      </c>
      <c r="D55" s="193">
        <v>139</v>
      </c>
      <c r="E55" s="193">
        <v>158.69999999999999</v>
      </c>
      <c r="F55" s="193">
        <v>163</v>
      </c>
      <c r="G55" s="193">
        <v>174.2</v>
      </c>
      <c r="H55" s="193">
        <v>189.4</v>
      </c>
      <c r="I55" s="193">
        <v>177.5</v>
      </c>
      <c r="J55" s="193">
        <v>192.3</v>
      </c>
      <c r="K55" s="193">
        <v>201.8</v>
      </c>
      <c r="L55" s="193">
        <v>203.3</v>
      </c>
      <c r="M55" s="193">
        <v>208</v>
      </c>
      <c r="N55" s="193">
        <v>236.4</v>
      </c>
      <c r="O55" s="196">
        <v>2170.6999999999998</v>
      </c>
    </row>
    <row r="56" spans="2:15" s="148" customFormat="1" ht="14" customHeight="1" x14ac:dyDescent="0.25">
      <c r="B56" s="41">
        <v>2024</v>
      </c>
      <c r="C56" s="193">
        <v>203.5</v>
      </c>
      <c r="D56" s="193">
        <v>109.5</v>
      </c>
      <c r="E56" s="193">
        <v>169</v>
      </c>
      <c r="F56" s="193">
        <v>153.19999999999999</v>
      </c>
      <c r="G56" s="193">
        <v>171</v>
      </c>
      <c r="H56" s="193">
        <v>176.7</v>
      </c>
      <c r="I56" s="193">
        <v>172</v>
      </c>
      <c r="J56" s="193">
        <v>190.5</v>
      </c>
      <c r="K56" s="193">
        <v>210.7</v>
      </c>
      <c r="L56" s="193">
        <v>226.1</v>
      </c>
      <c r="M56" s="193">
        <v>245.2</v>
      </c>
      <c r="N56" s="193">
        <v>263</v>
      </c>
      <c r="O56" s="196">
        <v>2289.4</v>
      </c>
    </row>
    <row r="57" spans="2:15" s="148" customFormat="1" ht="14" customHeight="1" x14ac:dyDescent="0.25">
      <c r="B57" s="41">
        <v>2025</v>
      </c>
      <c r="C57" s="193">
        <v>179.5</v>
      </c>
      <c r="D57" s="193">
        <v>138.5</v>
      </c>
      <c r="E57" s="193">
        <v>193.7</v>
      </c>
      <c r="F57" s="193">
        <v>176.2</v>
      </c>
      <c r="G57" s="193">
        <v>193.8</v>
      </c>
      <c r="H57" s="193">
        <v>208.4</v>
      </c>
      <c r="I57" s="193">
        <v>184.4</v>
      </c>
      <c r="J57" s="193">
        <v>201.8</v>
      </c>
      <c r="K57" s="193">
        <v>224.1</v>
      </c>
      <c r="L57" s="193">
        <v>227.6</v>
      </c>
      <c r="M57" s="193">
        <v>222.5</v>
      </c>
      <c r="N57" s="193">
        <v>226.1</v>
      </c>
      <c r="O57" s="196">
        <v>2374.4</v>
      </c>
    </row>
    <row r="58" spans="2:15" s="148" customFormat="1" ht="14" customHeight="1" x14ac:dyDescent="0.25">
      <c r="B58" s="58" t="s">
        <v>118</v>
      </c>
      <c r="C58" s="65">
        <f t="shared" ref="C58:O58" si="17">C57/C56-1</f>
        <v>-0.11793611793611791</v>
      </c>
      <c r="D58" s="65">
        <f t="shared" si="17"/>
        <v>0.26484018264840192</v>
      </c>
      <c r="E58" s="65">
        <f t="shared" si="17"/>
        <v>0.14615384615384608</v>
      </c>
      <c r="F58" s="65">
        <f t="shared" si="17"/>
        <v>0.15013054830287209</v>
      </c>
      <c r="G58" s="65">
        <f t="shared" si="17"/>
        <v>0.1333333333333333</v>
      </c>
      <c r="H58" s="65">
        <f t="shared" si="17"/>
        <v>0.17940011318619131</v>
      </c>
      <c r="I58" s="65">
        <f t="shared" si="17"/>
        <v>7.2093023255813904E-2</v>
      </c>
      <c r="J58" s="65">
        <f t="shared" si="17"/>
        <v>5.9317585301837283E-2</v>
      </c>
      <c r="K58" s="65">
        <f t="shared" si="17"/>
        <v>6.3597532036070215E-2</v>
      </c>
      <c r="L58" s="65">
        <f t="shared" si="17"/>
        <v>6.6342326404245089E-3</v>
      </c>
      <c r="M58" s="65">
        <f t="shared" si="17"/>
        <v>-9.2577487765089672E-2</v>
      </c>
      <c r="N58" s="65">
        <f t="shared" si="17"/>
        <v>-0.14030418250950571</v>
      </c>
      <c r="O58" s="65">
        <f t="shared" si="17"/>
        <v>3.7127631693893548E-2</v>
      </c>
    </row>
    <row r="59" spans="2:15" s="148" customFormat="1" ht="14" customHeight="1" x14ac:dyDescent="0.25">
      <c r="B59" s="58" t="s">
        <v>48</v>
      </c>
      <c r="C59" s="65">
        <f>C57/N56-1</f>
        <v>-0.31749049429657794</v>
      </c>
      <c r="D59" s="65">
        <f t="shared" ref="D59:N59" si="18">D57/C57-1</f>
        <v>-0.22841225626740946</v>
      </c>
      <c r="E59" s="65">
        <f t="shared" si="18"/>
        <v>0.39855595667870025</v>
      </c>
      <c r="F59" s="65">
        <f t="shared" si="18"/>
        <v>-9.0345895715023272E-2</v>
      </c>
      <c r="G59" s="65">
        <f t="shared" si="18"/>
        <v>9.9886492622020651E-2</v>
      </c>
      <c r="H59" s="65">
        <f t="shared" si="18"/>
        <v>7.5335397316821373E-2</v>
      </c>
      <c r="I59" s="65">
        <f t="shared" si="18"/>
        <v>-0.11516314779270631</v>
      </c>
      <c r="J59" s="65">
        <f t="shared" si="18"/>
        <v>9.4360086767895979E-2</v>
      </c>
      <c r="K59" s="65">
        <f t="shared" si="18"/>
        <v>0.1105054509415262</v>
      </c>
      <c r="L59" s="65">
        <f t="shared" si="18"/>
        <v>1.5618027666220335E-2</v>
      </c>
      <c r="M59" s="65">
        <f t="shared" si="18"/>
        <v>-2.240773286467479E-2</v>
      </c>
      <c r="N59" s="65">
        <f t="shared" si="18"/>
        <v>1.6179775280898756E-2</v>
      </c>
      <c r="O59" s="197"/>
    </row>
    <row r="60" spans="2:15" s="148" customFormat="1" ht="14" customHeight="1" x14ac:dyDescent="0.25">
      <c r="B60" s="41">
        <v>2026</v>
      </c>
      <c r="C60" s="44">
        <v>154.5</v>
      </c>
      <c r="D60" s="44">
        <v>103.4</v>
      </c>
      <c r="E60" s="193">
        <v>164.7</v>
      </c>
      <c r="F60" s="193">
        <v>138.19999999999999</v>
      </c>
      <c r="G60" s="193">
        <v>151</v>
      </c>
      <c r="H60" s="193"/>
      <c r="I60" s="193"/>
      <c r="J60" s="193"/>
      <c r="K60" s="193"/>
      <c r="L60" s="193"/>
      <c r="M60" s="193"/>
      <c r="N60" s="193"/>
      <c r="O60" s="57"/>
    </row>
    <row r="61" spans="2:15" s="148" customFormat="1" ht="14" customHeight="1" x14ac:dyDescent="0.25">
      <c r="B61" s="176" t="s">
        <v>118</v>
      </c>
      <c r="C61" s="167">
        <f>C60/C57-1</f>
        <v>-0.1392757660167131</v>
      </c>
      <c r="D61" s="167">
        <f>D60/D57-1</f>
        <v>-0.25342960288808658</v>
      </c>
      <c r="E61" s="167">
        <f>E60/E57-1</f>
        <v>-0.14971605575632418</v>
      </c>
      <c r="F61" s="167">
        <f>F60/F57-1</f>
        <v>-0.21566401816118053</v>
      </c>
      <c r="G61" s="167">
        <f t="shared" ref="G61" si="19">G60/G57-1</f>
        <v>-0.22084623323013419</v>
      </c>
      <c r="H61" s="167"/>
      <c r="I61" s="167"/>
      <c r="J61" s="167"/>
      <c r="K61" s="167"/>
      <c r="L61" s="167"/>
      <c r="M61" s="167"/>
      <c r="N61" s="167"/>
      <c r="O61" s="167"/>
    </row>
    <row r="62" spans="2:15" s="148" customFormat="1" ht="14" customHeight="1" x14ac:dyDescent="0.25">
      <c r="B62" s="176" t="s">
        <v>48</v>
      </c>
      <c r="C62" s="177">
        <f>C60/N57-1</f>
        <v>-0.31667403803626715</v>
      </c>
      <c r="D62" s="167">
        <f>D60/C60-1</f>
        <v>-0.33074433656957924</v>
      </c>
      <c r="E62" s="167">
        <f>E60/D60-1</f>
        <v>0.59284332688587993</v>
      </c>
      <c r="F62" s="167">
        <f>F60/E60-1</f>
        <v>-0.16089860352155438</v>
      </c>
      <c r="G62" s="167">
        <f t="shared" ref="G62" si="20">G60/F60-1</f>
        <v>9.2619392185238958E-2</v>
      </c>
      <c r="H62" s="167"/>
      <c r="I62" s="167"/>
      <c r="J62" s="167"/>
      <c r="K62" s="167"/>
      <c r="L62" s="167"/>
      <c r="M62" s="167"/>
      <c r="N62" s="167"/>
      <c r="O62" s="137"/>
    </row>
    <row r="63" spans="2:15" s="148" customFormat="1" ht="14" customHeight="1" x14ac:dyDescent="0.25"/>
    <row r="64" spans="2:15" s="148" customFormat="1" ht="14" customHeight="1" x14ac:dyDescent="0.25">
      <c r="B64" s="55" t="s">
        <v>113</v>
      </c>
      <c r="C64" s="56" t="s">
        <v>49</v>
      </c>
      <c r="D64" s="56" t="s">
        <v>50</v>
      </c>
      <c r="E64" s="56" t="s">
        <v>51</v>
      </c>
      <c r="F64" s="56" t="s">
        <v>52</v>
      </c>
      <c r="G64" s="56" t="s">
        <v>53</v>
      </c>
      <c r="H64" s="56" t="s">
        <v>54</v>
      </c>
      <c r="I64" s="56" t="s">
        <v>55</v>
      </c>
      <c r="J64" s="56" t="s">
        <v>56</v>
      </c>
      <c r="K64" s="56" t="s">
        <v>57</v>
      </c>
      <c r="L64" s="56" t="s">
        <v>58</v>
      </c>
      <c r="M64" s="56" t="s">
        <v>59</v>
      </c>
      <c r="N64" s="56" t="s">
        <v>60</v>
      </c>
      <c r="O64" s="56" t="s">
        <v>38</v>
      </c>
    </row>
    <row r="65" spans="2:15" s="148" customFormat="1" ht="14" customHeight="1" x14ac:dyDescent="0.25">
      <c r="B65" s="41">
        <v>2021</v>
      </c>
      <c r="C65" s="45">
        <f t="shared" ref="C65:O65" si="21">C41/C53</f>
        <v>7.1050754458161863E-2</v>
      </c>
      <c r="D65" s="45">
        <f t="shared" si="21"/>
        <v>8.1153010033444814E-2</v>
      </c>
      <c r="E65" s="45">
        <f t="shared" si="21"/>
        <v>0.10506122448979592</v>
      </c>
      <c r="F65" s="45">
        <f t="shared" si="21"/>
        <v>9.9887376237623768E-2</v>
      </c>
      <c r="G65" s="45">
        <f t="shared" si="21"/>
        <v>0.11498833640270104</v>
      </c>
      <c r="H65" s="45">
        <f t="shared" si="21"/>
        <v>0.1449709595959596</v>
      </c>
      <c r="I65" s="45">
        <f t="shared" si="21"/>
        <v>0.14717417218543044</v>
      </c>
      <c r="J65" s="45">
        <f t="shared" si="21"/>
        <v>0.17189256198347108</v>
      </c>
      <c r="K65" s="45">
        <f t="shared" si="21"/>
        <v>0.21082932996207335</v>
      </c>
      <c r="L65" s="45">
        <f t="shared" si="21"/>
        <v>0.18496441073512251</v>
      </c>
      <c r="M65" s="45">
        <f t="shared" si="21"/>
        <v>0.20841795154185022</v>
      </c>
      <c r="N65" s="45">
        <f t="shared" si="21"/>
        <v>0.22559952494061758</v>
      </c>
      <c r="O65" s="45">
        <f t="shared" si="21"/>
        <v>0.14844450508558671</v>
      </c>
    </row>
    <row r="66" spans="2:15" s="148" customFormat="1" ht="14" customHeight="1" x14ac:dyDescent="0.25">
      <c r="B66" s="41">
        <v>2022</v>
      </c>
      <c r="C66" s="45">
        <f t="shared" ref="C66:O66" si="22">C42/C54</f>
        <v>0.16931216931216933</v>
      </c>
      <c r="D66" s="45">
        <f t="shared" si="22"/>
        <v>0.21701112877583467</v>
      </c>
      <c r="E66" s="45">
        <f t="shared" si="22"/>
        <v>0.28164556962025317</v>
      </c>
      <c r="F66" s="45">
        <f t="shared" si="22"/>
        <v>0.26934097421203435</v>
      </c>
      <c r="G66" s="45">
        <f t="shared" si="22"/>
        <v>0.26568265682656828</v>
      </c>
      <c r="H66" s="45">
        <f t="shared" si="22"/>
        <v>0.27314814814814814</v>
      </c>
      <c r="I66" s="45">
        <f t="shared" si="22"/>
        <v>0.26732673267326734</v>
      </c>
      <c r="J66" s="45">
        <f t="shared" si="22"/>
        <v>0.28281750266808964</v>
      </c>
      <c r="K66" s="45">
        <f t="shared" si="22"/>
        <v>0.31773270930837233</v>
      </c>
      <c r="L66" s="45">
        <f t="shared" si="22"/>
        <v>0.30168204015192618</v>
      </c>
      <c r="M66" s="45">
        <f t="shared" si="22"/>
        <v>0.36242424242424243</v>
      </c>
      <c r="N66" s="45">
        <f t="shared" si="22"/>
        <v>0.2950668510834486</v>
      </c>
      <c r="O66" s="45">
        <f t="shared" si="22"/>
        <v>0.27575462512171378</v>
      </c>
    </row>
    <row r="67" spans="2:15" s="148" customFormat="1" ht="14" customHeight="1" x14ac:dyDescent="0.25">
      <c r="B67" s="47">
        <v>2023</v>
      </c>
      <c r="C67" s="183">
        <f t="shared" ref="C67:I69" si="23">C43/C55</f>
        <v>0.25676720804331016</v>
      </c>
      <c r="D67" s="183">
        <f t="shared" si="23"/>
        <v>0.31582733812949637</v>
      </c>
      <c r="E67" s="198">
        <f t="shared" si="23"/>
        <v>0.34404536862003782</v>
      </c>
      <c r="F67" s="183">
        <f t="shared" si="23"/>
        <v>0.32331288343558284</v>
      </c>
      <c r="G67" s="183">
        <f t="shared" si="23"/>
        <v>0.33295063145809417</v>
      </c>
      <c r="H67" s="183">
        <f t="shared" si="23"/>
        <v>0.35110876451953538</v>
      </c>
      <c r="I67" s="183">
        <f t="shared" si="23"/>
        <v>0.36112676056338022</v>
      </c>
      <c r="J67" s="183">
        <v>0.373</v>
      </c>
      <c r="K67" s="183">
        <v>0.36899999999999999</v>
      </c>
      <c r="L67" s="183">
        <v>0.378</v>
      </c>
      <c r="M67" s="183">
        <v>0.40400000000000003</v>
      </c>
      <c r="N67" s="183">
        <f t="shared" ref="N67:O69" si="24">N43/N55</f>
        <v>0.39974619289340102</v>
      </c>
      <c r="O67" s="45">
        <f t="shared" si="24"/>
        <v>0.35675127838945964</v>
      </c>
    </row>
    <row r="68" spans="2:15" s="148" customFormat="1" ht="14" customHeight="1" x14ac:dyDescent="0.25">
      <c r="B68" s="47">
        <v>2024</v>
      </c>
      <c r="C68" s="183">
        <f t="shared" si="23"/>
        <v>0.32825552825552823</v>
      </c>
      <c r="D68" s="183">
        <f t="shared" si="23"/>
        <v>0.35433789954337896</v>
      </c>
      <c r="E68" s="183">
        <f t="shared" si="23"/>
        <v>0.41952662721893497</v>
      </c>
      <c r="F68" s="183">
        <f t="shared" si="23"/>
        <v>0.43994778067885126</v>
      </c>
      <c r="G68" s="183">
        <f t="shared" si="23"/>
        <v>0.47017543859649125</v>
      </c>
      <c r="H68" s="183">
        <f t="shared" si="23"/>
        <v>0.48500282965478214</v>
      </c>
      <c r="I68" s="183">
        <f t="shared" si="23"/>
        <v>0.51046511627906976</v>
      </c>
      <c r="J68" s="183">
        <f t="shared" ref="J68:M69" si="25">J44/J56</f>
        <v>0.53805774278215224</v>
      </c>
      <c r="K68" s="183">
        <f t="shared" si="25"/>
        <v>0.53298528713811111</v>
      </c>
      <c r="L68" s="183">
        <f t="shared" si="25"/>
        <v>0.52896948252985398</v>
      </c>
      <c r="M68" s="183">
        <f t="shared" si="25"/>
        <v>0.51672104404567698</v>
      </c>
      <c r="N68" s="183">
        <f t="shared" si="24"/>
        <v>0.49543726235741448</v>
      </c>
      <c r="O68" s="183">
        <f t="shared" si="24"/>
        <v>0.47606359744911331</v>
      </c>
    </row>
    <row r="69" spans="2:15" s="148" customFormat="1" ht="14" customHeight="1" x14ac:dyDescent="0.25">
      <c r="B69" s="47">
        <v>2025</v>
      </c>
      <c r="C69" s="183">
        <f t="shared" si="23"/>
        <v>0.41448467966573821</v>
      </c>
      <c r="D69" s="183">
        <f t="shared" si="23"/>
        <v>0.49314079422382667</v>
      </c>
      <c r="E69" s="183">
        <f t="shared" si="23"/>
        <v>0.51161590087764586</v>
      </c>
      <c r="F69" s="183">
        <f t="shared" si="23"/>
        <v>0.51702610669693527</v>
      </c>
      <c r="G69" s="183">
        <f t="shared" si="23"/>
        <v>0.52992776057791535</v>
      </c>
      <c r="H69" s="183">
        <f t="shared" si="23"/>
        <v>0.53358925143953939</v>
      </c>
      <c r="I69" s="183">
        <f t="shared" si="23"/>
        <v>0.5352494577006508</v>
      </c>
      <c r="J69" s="183">
        <f t="shared" si="25"/>
        <v>0.55252725470763131</v>
      </c>
      <c r="K69" s="183">
        <f t="shared" si="25"/>
        <v>0.57831325301204817</v>
      </c>
      <c r="L69" s="183">
        <f t="shared" si="25"/>
        <v>0.56326889279437609</v>
      </c>
      <c r="M69" s="183">
        <f t="shared" si="25"/>
        <v>0.59370786516853935</v>
      </c>
      <c r="N69" s="183">
        <f t="shared" si="24"/>
        <v>0.59133126934984515</v>
      </c>
      <c r="O69" s="183">
        <f t="shared" si="24"/>
        <v>0.53946260107816713</v>
      </c>
    </row>
    <row r="70" spans="2:15" s="148" customFormat="1" ht="14" customHeight="1" x14ac:dyDescent="0.25">
      <c r="B70" s="47">
        <v>2026</v>
      </c>
      <c r="C70" s="183">
        <f>C48/C60</f>
        <v>0.38576051779935278</v>
      </c>
      <c r="D70" s="183">
        <f>D48/D60</f>
        <v>0.44874274661508701</v>
      </c>
      <c r="E70" s="183">
        <f>E48/E60</f>
        <v>0.51730418943533707</v>
      </c>
      <c r="F70" s="183">
        <f>F48/F60</f>
        <v>0.6114327062228655</v>
      </c>
      <c r="G70" s="183">
        <f>G48/G60</f>
        <v>0.62913907284768211</v>
      </c>
      <c r="H70" s="183"/>
      <c r="I70" s="183"/>
      <c r="J70" s="183"/>
      <c r="K70" s="183"/>
      <c r="L70" s="183"/>
      <c r="M70" s="183"/>
      <c r="N70" s="183"/>
      <c r="O70" s="183"/>
    </row>
    <row r="71" spans="2:15" s="148" customFormat="1" ht="14" customHeight="1" x14ac:dyDescent="0.25">
      <c r="B71" s="47"/>
    </row>
    <row r="72" spans="2:15" s="148" customFormat="1" ht="14" customHeight="1" x14ac:dyDescent="0.25">
      <c r="B72" s="61" t="s">
        <v>119</v>
      </c>
      <c r="C72" s="192"/>
      <c r="D72" s="192"/>
      <c r="E72" s="192"/>
      <c r="F72" s="62"/>
      <c r="G72" s="192"/>
      <c r="H72" s="192"/>
      <c r="I72" s="192"/>
      <c r="J72" s="192"/>
      <c r="K72" s="192"/>
      <c r="L72" s="192"/>
      <c r="M72" s="192"/>
      <c r="N72" s="192"/>
      <c r="O72" s="192"/>
    </row>
    <row r="73" spans="2:15" s="148" customFormat="1" ht="14" customHeight="1" x14ac:dyDescent="0.25">
      <c r="B73" s="55" t="s">
        <v>114</v>
      </c>
      <c r="C73" s="56" t="s">
        <v>49</v>
      </c>
      <c r="D73" s="56" t="s">
        <v>50</v>
      </c>
      <c r="E73" s="56" t="s">
        <v>51</v>
      </c>
      <c r="F73" s="56" t="s">
        <v>52</v>
      </c>
      <c r="G73" s="56" t="s">
        <v>53</v>
      </c>
      <c r="H73" s="56" t="s">
        <v>54</v>
      </c>
      <c r="I73" s="56" t="s">
        <v>55</v>
      </c>
      <c r="J73" s="56" t="s">
        <v>56</v>
      </c>
      <c r="K73" s="56" t="s">
        <v>57</v>
      </c>
      <c r="L73" s="56" t="s">
        <v>58</v>
      </c>
      <c r="M73" s="56" t="s">
        <v>59</v>
      </c>
      <c r="N73" s="56" t="s">
        <v>60</v>
      </c>
      <c r="O73" s="56" t="s">
        <v>38</v>
      </c>
    </row>
    <row r="74" spans="2:15" s="148" customFormat="1" ht="14" customHeight="1" x14ac:dyDescent="0.25">
      <c r="B74" s="41">
        <v>2021</v>
      </c>
      <c r="C74" s="48"/>
      <c r="D74" s="48"/>
      <c r="E74" s="48"/>
      <c r="F74" s="48"/>
      <c r="G74" s="48"/>
      <c r="H74" s="48"/>
      <c r="I74" s="48"/>
      <c r="J74" s="48"/>
      <c r="K74" s="48"/>
      <c r="L74" s="48"/>
      <c r="M74" s="48"/>
      <c r="N74" s="48">
        <v>2.6</v>
      </c>
      <c r="O74" s="48">
        <f>SUM(C74:N74)</f>
        <v>2.6</v>
      </c>
    </row>
    <row r="75" spans="2:15" ht="14" customHeight="1" x14ac:dyDescent="0.25">
      <c r="B75" s="41">
        <v>2022</v>
      </c>
      <c r="C75" s="48">
        <v>5.2</v>
      </c>
      <c r="D75" s="48">
        <v>4.53</v>
      </c>
      <c r="E75" s="174">
        <v>1.1000000000000001</v>
      </c>
      <c r="F75" s="174">
        <v>0.76</v>
      </c>
      <c r="G75" s="174">
        <v>3.9</v>
      </c>
      <c r="H75" s="174">
        <v>3.1</v>
      </c>
      <c r="I75" s="174">
        <v>4.9000000000000004</v>
      </c>
      <c r="J75" s="174">
        <v>7.7</v>
      </c>
      <c r="K75" s="174">
        <v>4.4000000000000004</v>
      </c>
      <c r="L75" s="174">
        <v>10.3</v>
      </c>
      <c r="M75" s="174">
        <v>8.1999999999999993</v>
      </c>
      <c r="N75" s="174">
        <v>7.4</v>
      </c>
      <c r="O75" s="48">
        <f>SUM(C75:N75)</f>
        <v>61.49</v>
      </c>
    </row>
    <row r="76" spans="2:15" ht="14" customHeight="1" x14ac:dyDescent="0.25">
      <c r="B76" s="41">
        <v>2023</v>
      </c>
      <c r="C76" s="48">
        <v>7.4</v>
      </c>
      <c r="D76" s="48">
        <v>7.9</v>
      </c>
      <c r="E76" s="174">
        <v>7</v>
      </c>
      <c r="F76" s="174">
        <v>9.1</v>
      </c>
      <c r="G76" s="174">
        <v>9.1999999999999993</v>
      </c>
      <c r="H76" s="174">
        <v>7</v>
      </c>
      <c r="I76" s="174">
        <v>8.8000000000000007</v>
      </c>
      <c r="J76" s="174">
        <v>7.8</v>
      </c>
      <c r="K76" s="174">
        <v>9.1</v>
      </c>
      <c r="L76" s="174">
        <v>11.2</v>
      </c>
      <c r="M76" s="174">
        <v>8.9</v>
      </c>
      <c r="N76" s="174">
        <v>10.199999999999999</v>
      </c>
      <c r="O76" s="48">
        <f>SUM(C76:N76)</f>
        <v>103.6</v>
      </c>
    </row>
    <row r="77" spans="2:15" ht="14" customHeight="1" x14ac:dyDescent="0.25">
      <c r="B77" s="41">
        <v>2024</v>
      </c>
      <c r="C77" s="48">
        <v>9.5</v>
      </c>
      <c r="D77" s="48">
        <v>7.9</v>
      </c>
      <c r="E77" s="48">
        <v>12</v>
      </c>
      <c r="F77" s="48">
        <v>11.5</v>
      </c>
      <c r="G77" s="48">
        <v>9.4</v>
      </c>
      <c r="H77" s="48">
        <v>8</v>
      </c>
      <c r="I77" s="48">
        <v>9.1999999999999993</v>
      </c>
      <c r="J77" s="48">
        <v>9.9</v>
      </c>
      <c r="K77" s="48">
        <v>10.5</v>
      </c>
      <c r="L77" s="48">
        <v>12</v>
      </c>
      <c r="M77" s="48">
        <v>8</v>
      </c>
      <c r="N77" s="48">
        <v>12.2</v>
      </c>
      <c r="O77" s="48">
        <v>129</v>
      </c>
    </row>
    <row r="78" spans="2:15" ht="14" customHeight="1" x14ac:dyDescent="0.25">
      <c r="B78" s="41">
        <v>2025</v>
      </c>
      <c r="C78" s="48">
        <v>13.9</v>
      </c>
      <c r="D78" s="48">
        <v>11.8</v>
      </c>
      <c r="E78" s="48">
        <v>14.3</v>
      </c>
      <c r="F78" s="48">
        <v>18.899999999999999</v>
      </c>
      <c r="G78" s="48">
        <v>20</v>
      </c>
      <c r="H78" s="48">
        <v>19.8</v>
      </c>
      <c r="I78" s="48">
        <v>21.8</v>
      </c>
      <c r="J78" s="48">
        <v>20.399999999999999</v>
      </c>
      <c r="K78" s="48">
        <v>21.1</v>
      </c>
      <c r="L78" s="48">
        <v>23.8</v>
      </c>
      <c r="M78" s="48">
        <v>28.4</v>
      </c>
      <c r="N78" s="48">
        <v>27.3</v>
      </c>
      <c r="O78" s="48">
        <v>242.2</v>
      </c>
    </row>
    <row r="79" spans="2:15" ht="14" customHeight="1" x14ac:dyDescent="0.25">
      <c r="B79" s="58" t="s">
        <v>118</v>
      </c>
      <c r="C79" s="64">
        <f t="shared" ref="C79:L79" si="26">C78/C77-1</f>
        <v>0.46315789473684221</v>
      </c>
      <c r="D79" s="64">
        <f t="shared" si="26"/>
        <v>0.49367088607594933</v>
      </c>
      <c r="E79" s="64">
        <f t="shared" si="26"/>
        <v>0.19166666666666665</v>
      </c>
      <c r="F79" s="64">
        <f t="shared" si="26"/>
        <v>0.64347826086956506</v>
      </c>
      <c r="G79" s="64">
        <f t="shared" si="26"/>
        <v>1.1276595744680851</v>
      </c>
      <c r="H79" s="64">
        <f t="shared" si="26"/>
        <v>1.4750000000000001</v>
      </c>
      <c r="I79" s="64">
        <f t="shared" si="26"/>
        <v>1.3695652173913047</v>
      </c>
      <c r="J79" s="64">
        <f t="shared" si="26"/>
        <v>1.0606060606060606</v>
      </c>
      <c r="K79" s="64">
        <f t="shared" si="26"/>
        <v>1.0095238095238095</v>
      </c>
      <c r="L79" s="64">
        <f t="shared" si="26"/>
        <v>0.98333333333333339</v>
      </c>
      <c r="M79" s="64">
        <f>M78/M77-1</f>
        <v>2.5499999999999998</v>
      </c>
      <c r="N79" s="64">
        <f>N78/N77-1</f>
        <v>1.237704918032787</v>
      </c>
      <c r="O79" s="64">
        <f>O78/O77-1</f>
        <v>0.8775193798449612</v>
      </c>
    </row>
    <row r="80" spans="2:15" ht="14" customHeight="1" x14ac:dyDescent="0.25">
      <c r="B80" s="58" t="s">
        <v>48</v>
      </c>
      <c r="C80" s="64">
        <f>C78/N77-1</f>
        <v>0.13934426229508201</v>
      </c>
      <c r="D80" s="64">
        <f t="shared" ref="D80:N80" si="27">D78/C78-1</f>
        <v>-0.15107913669064743</v>
      </c>
      <c r="E80" s="64">
        <f t="shared" si="27"/>
        <v>0.2118644067796609</v>
      </c>
      <c r="F80" s="64">
        <f t="shared" si="27"/>
        <v>0.32167832167832144</v>
      </c>
      <c r="G80" s="64">
        <f t="shared" si="27"/>
        <v>5.8201058201058364E-2</v>
      </c>
      <c r="H80" s="64">
        <f t="shared" si="27"/>
        <v>-1.0000000000000009E-2</v>
      </c>
      <c r="I80" s="64">
        <f t="shared" si="27"/>
        <v>0.10101010101010099</v>
      </c>
      <c r="J80" s="64">
        <f t="shared" si="27"/>
        <v>-6.4220183486238591E-2</v>
      </c>
      <c r="K80" s="64">
        <f t="shared" si="27"/>
        <v>3.4313725490196179E-2</v>
      </c>
      <c r="L80" s="64">
        <f t="shared" si="27"/>
        <v>0.12796208530805675</v>
      </c>
      <c r="M80" s="64">
        <f t="shared" si="27"/>
        <v>0.19327731092436973</v>
      </c>
      <c r="N80" s="64">
        <f t="shared" si="27"/>
        <v>-3.8732394366197131E-2</v>
      </c>
      <c r="O80" s="199"/>
    </row>
    <row r="81" spans="2:16" s="148" customFormat="1" ht="14" customHeight="1" x14ac:dyDescent="0.25">
      <c r="B81" s="41">
        <v>2026</v>
      </c>
      <c r="C81" s="44">
        <v>28.6</v>
      </c>
      <c r="D81" s="44">
        <v>26.9</v>
      </c>
      <c r="E81" s="193">
        <v>34.9</v>
      </c>
      <c r="F81" s="193">
        <v>40.6</v>
      </c>
      <c r="G81" s="193">
        <v>42.4</v>
      </c>
      <c r="H81" s="193"/>
      <c r="I81" s="193"/>
      <c r="J81" s="193"/>
      <c r="K81" s="193"/>
      <c r="L81" s="193"/>
      <c r="M81" s="193"/>
      <c r="N81" s="193"/>
      <c r="O81" s="57"/>
    </row>
    <row r="82" spans="2:16" s="148" customFormat="1" ht="14" customHeight="1" x14ac:dyDescent="0.25">
      <c r="B82" s="176" t="s">
        <v>118</v>
      </c>
      <c r="C82" s="167">
        <f>C81/C78-1</f>
        <v>1.0575539568345325</v>
      </c>
      <c r="D82" s="167">
        <f>D81/D78-1</f>
        <v>1.2796610169491522</v>
      </c>
      <c r="E82" s="167">
        <f>E81/E78-1</f>
        <v>1.4405594405594404</v>
      </c>
      <c r="F82" s="167">
        <f>F81/F78-1</f>
        <v>1.1481481481481484</v>
      </c>
      <c r="G82" s="167">
        <f>G81/G78-1</f>
        <v>1.1200000000000001</v>
      </c>
      <c r="H82" s="167"/>
      <c r="I82" s="167"/>
      <c r="J82" s="167"/>
      <c r="K82" s="167"/>
      <c r="L82" s="167"/>
      <c r="M82" s="167"/>
      <c r="N82" s="167"/>
      <c r="O82" s="167"/>
    </row>
    <row r="83" spans="2:16" s="148" customFormat="1" ht="14" customHeight="1" x14ac:dyDescent="0.25">
      <c r="B83" s="176" t="s">
        <v>48</v>
      </c>
      <c r="C83" s="177">
        <f>C81/N78-1</f>
        <v>4.7619047619047672E-2</v>
      </c>
      <c r="D83" s="167">
        <f>D81/C81-1</f>
        <v>-5.9440559440559482E-2</v>
      </c>
      <c r="E83" s="167">
        <f>E81/D81-1</f>
        <v>0.29739776951672869</v>
      </c>
      <c r="F83" s="167">
        <f>F81/E81-1</f>
        <v>0.16332378223495714</v>
      </c>
      <c r="G83" s="167">
        <f>G81/F81-1</f>
        <v>4.4334975369457963E-2</v>
      </c>
      <c r="H83" s="167"/>
      <c r="I83" s="167"/>
      <c r="J83" s="167"/>
      <c r="K83" s="167"/>
      <c r="L83" s="167"/>
      <c r="M83" s="167"/>
      <c r="N83" s="167"/>
      <c r="O83" s="137"/>
    </row>
    <row r="84" spans="2:16" s="148" customFormat="1" ht="14" customHeight="1" x14ac:dyDescent="0.25">
      <c r="B84" s="52"/>
      <c r="C84" s="154"/>
      <c r="D84" s="154"/>
      <c r="E84" s="154"/>
      <c r="F84" s="154"/>
      <c r="G84" s="154"/>
      <c r="H84" s="154"/>
      <c r="I84" s="154"/>
      <c r="J84" s="154"/>
      <c r="K84" s="154"/>
      <c r="L84" s="154"/>
      <c r="M84" s="200"/>
      <c r="N84" s="154"/>
      <c r="O84" s="154"/>
    </row>
    <row r="85" spans="2:16" s="148" customFormat="1" ht="14" customHeight="1" x14ac:dyDescent="0.25">
      <c r="B85" s="55" t="s">
        <v>115</v>
      </c>
      <c r="C85" s="56" t="s">
        <v>49</v>
      </c>
      <c r="D85" s="56" t="s">
        <v>50</v>
      </c>
      <c r="E85" s="56" t="s">
        <v>51</v>
      </c>
      <c r="F85" s="56" t="s">
        <v>52</v>
      </c>
      <c r="G85" s="56" t="s">
        <v>53</v>
      </c>
      <c r="H85" s="56" t="s">
        <v>54</v>
      </c>
      <c r="I85" s="56" t="s">
        <v>55</v>
      </c>
      <c r="J85" s="56" t="s">
        <v>56</v>
      </c>
      <c r="K85" s="56" t="s">
        <v>57</v>
      </c>
      <c r="L85" s="56" t="s">
        <v>58</v>
      </c>
      <c r="M85" s="56" t="s">
        <v>59</v>
      </c>
      <c r="N85" s="56" t="s">
        <v>60</v>
      </c>
      <c r="O85" s="56" t="s">
        <v>38</v>
      </c>
    </row>
    <row r="86" spans="2:16" s="148" customFormat="1" ht="14" customHeight="1" x14ac:dyDescent="0.25">
      <c r="B86" s="41">
        <v>2021</v>
      </c>
      <c r="C86" s="48">
        <v>8.1999999999999993</v>
      </c>
      <c r="D86" s="48">
        <v>7.3</v>
      </c>
      <c r="E86" s="48">
        <v>9.1999999999999993</v>
      </c>
      <c r="F86" s="48">
        <v>10.7</v>
      </c>
      <c r="G86" s="48">
        <v>10.7</v>
      </c>
      <c r="H86" s="48">
        <v>11.2</v>
      </c>
      <c r="I86" s="48">
        <v>12.8</v>
      </c>
      <c r="J86" s="48">
        <v>14</v>
      </c>
      <c r="K86" s="48">
        <v>12.8</v>
      </c>
      <c r="L86" s="48">
        <v>18.8</v>
      </c>
      <c r="M86" s="48">
        <v>17</v>
      </c>
      <c r="N86" s="48">
        <v>17</v>
      </c>
      <c r="O86" s="43">
        <f>SUM(C86:N86)</f>
        <v>149.69999999999999</v>
      </c>
    </row>
    <row r="87" spans="2:16" s="148" customFormat="1" ht="14" customHeight="1" x14ac:dyDescent="0.25">
      <c r="B87" s="41">
        <v>2022</v>
      </c>
      <c r="C87" s="48">
        <v>16.899999999999999</v>
      </c>
      <c r="D87" s="48">
        <v>13.3</v>
      </c>
      <c r="E87" s="48">
        <v>10.7</v>
      </c>
      <c r="F87" s="48">
        <v>9.1</v>
      </c>
      <c r="G87" s="48">
        <v>18.399999999999999</v>
      </c>
      <c r="H87" s="48">
        <v>18.7</v>
      </c>
      <c r="I87" s="48">
        <v>22.5</v>
      </c>
      <c r="J87" s="48">
        <v>25.2</v>
      </c>
      <c r="K87" s="48">
        <v>25</v>
      </c>
      <c r="L87" s="48">
        <v>27</v>
      </c>
      <c r="M87" s="48">
        <v>37</v>
      </c>
      <c r="N87" s="48">
        <v>26</v>
      </c>
      <c r="O87" s="43">
        <f>SUM(C87:N87)</f>
        <v>249.8</v>
      </c>
    </row>
    <row r="88" spans="2:16" s="148" customFormat="1" ht="14" customHeight="1" x14ac:dyDescent="0.25">
      <c r="B88" s="41">
        <v>2023</v>
      </c>
      <c r="C88" s="48">
        <v>23</v>
      </c>
      <c r="D88" s="48">
        <v>25</v>
      </c>
      <c r="E88" s="48">
        <v>29</v>
      </c>
      <c r="F88" s="48">
        <v>30</v>
      </c>
      <c r="G88" s="48">
        <v>30.2</v>
      </c>
      <c r="H88" s="48">
        <v>29</v>
      </c>
      <c r="I88" s="48">
        <v>31</v>
      </c>
      <c r="J88" s="48">
        <v>33</v>
      </c>
      <c r="K88" s="48">
        <v>35.700000000000003</v>
      </c>
      <c r="L88" s="48">
        <v>39.1</v>
      </c>
      <c r="M88" s="48">
        <v>37.799999999999997</v>
      </c>
      <c r="N88" s="48">
        <f>O88-SUM(C88:M88)</f>
        <v>40.199999999999989</v>
      </c>
      <c r="O88" s="43">
        <v>383</v>
      </c>
      <c r="P88" s="193"/>
    </row>
    <row r="89" spans="2:16" s="148" customFormat="1" ht="14" customHeight="1" x14ac:dyDescent="0.25">
      <c r="B89" s="41">
        <v>2024</v>
      </c>
      <c r="C89" s="193">
        <v>35.5</v>
      </c>
      <c r="D89" s="193">
        <v>29.8</v>
      </c>
      <c r="E89" s="193">
        <v>40.6</v>
      </c>
      <c r="F89" s="193">
        <v>41.7</v>
      </c>
      <c r="G89" s="193">
        <v>37.799999999999997</v>
      </c>
      <c r="H89" s="193">
        <v>37.799999999999997</v>
      </c>
      <c r="I89" s="193">
        <v>37.6</v>
      </c>
      <c r="J89" s="193">
        <v>41.3</v>
      </c>
      <c r="K89" s="193">
        <v>43.5</v>
      </c>
      <c r="L89" s="193">
        <v>44.1</v>
      </c>
      <c r="M89" s="193">
        <v>39.6</v>
      </c>
      <c r="N89" s="193">
        <v>40.4</v>
      </c>
      <c r="O89" s="193">
        <v>479.1</v>
      </c>
    </row>
    <row r="90" spans="2:16" s="148" customFormat="1" ht="14" customHeight="1" x14ac:dyDescent="0.25">
      <c r="B90" s="41">
        <v>2025</v>
      </c>
      <c r="C90" s="193">
        <v>38</v>
      </c>
      <c r="D90" s="193">
        <v>34.9</v>
      </c>
      <c r="E90" s="193">
        <v>39.1</v>
      </c>
      <c r="F90" s="193">
        <v>42.3</v>
      </c>
      <c r="G90" s="193">
        <v>43.3</v>
      </c>
      <c r="H90" s="193">
        <v>48</v>
      </c>
      <c r="I90" s="193">
        <v>48.6</v>
      </c>
      <c r="J90" s="193">
        <v>50.4</v>
      </c>
      <c r="K90" s="193">
        <v>52.8</v>
      </c>
      <c r="L90" s="193">
        <v>56.8</v>
      </c>
      <c r="M90" s="193">
        <v>60.1</v>
      </c>
      <c r="N90" s="193">
        <v>58.8</v>
      </c>
      <c r="O90" s="193">
        <v>573.9</v>
      </c>
    </row>
    <row r="91" spans="2:16" ht="14" customHeight="1" x14ac:dyDescent="0.25">
      <c r="B91" s="58" t="s">
        <v>118</v>
      </c>
      <c r="C91" s="64">
        <f t="shared" ref="C91:L91" si="28">C90/C89-1</f>
        <v>7.0422535211267512E-2</v>
      </c>
      <c r="D91" s="64">
        <f t="shared" si="28"/>
        <v>0.17114093959731536</v>
      </c>
      <c r="E91" s="64">
        <f t="shared" si="28"/>
        <v>-3.6945812807881784E-2</v>
      </c>
      <c r="F91" s="64">
        <f t="shared" si="28"/>
        <v>1.4388489208633004E-2</v>
      </c>
      <c r="G91" s="64">
        <f t="shared" si="28"/>
        <v>0.14550264550264558</v>
      </c>
      <c r="H91" s="64">
        <f t="shared" si="28"/>
        <v>0.26984126984126999</v>
      </c>
      <c r="I91" s="64">
        <f t="shared" si="28"/>
        <v>0.29255319148936176</v>
      </c>
      <c r="J91" s="64">
        <f t="shared" si="28"/>
        <v>0.22033898305084754</v>
      </c>
      <c r="K91" s="64">
        <f t="shared" si="28"/>
        <v>0.21379310344827585</v>
      </c>
      <c r="L91" s="64">
        <f t="shared" si="28"/>
        <v>0.28798185941043064</v>
      </c>
      <c r="M91" s="64">
        <f>M90/M89-1</f>
        <v>0.51767676767676774</v>
      </c>
      <c r="N91" s="64">
        <f>N90/N89-1</f>
        <v>0.45544554455445541</v>
      </c>
      <c r="O91" s="64">
        <f>O90/O89-1</f>
        <v>0.19787100814026282</v>
      </c>
    </row>
    <row r="92" spans="2:16" ht="14" customHeight="1" x14ac:dyDescent="0.25">
      <c r="B92" s="58" t="s">
        <v>48</v>
      </c>
      <c r="C92" s="64">
        <f>C90/N89-1</f>
        <v>-5.9405940594059348E-2</v>
      </c>
      <c r="D92" s="64">
        <f t="shared" ref="D92" si="29">D90/C90-1</f>
        <v>-8.1578947368421084E-2</v>
      </c>
      <c r="E92" s="64">
        <f t="shared" ref="E92" si="30">E90/D90-1</f>
        <v>0.12034383954154726</v>
      </c>
      <c r="F92" s="64">
        <f t="shared" ref="F92" si="31">F90/E90-1</f>
        <v>8.1841432225063793E-2</v>
      </c>
      <c r="G92" s="64">
        <f t="shared" ref="G92" si="32">G90/F90-1</f>
        <v>2.3640661938534313E-2</v>
      </c>
      <c r="H92" s="64">
        <f t="shared" ref="H92" si="33">H90/G90-1</f>
        <v>0.10854503464203247</v>
      </c>
      <c r="I92" s="64">
        <f t="shared" ref="I92" si="34">I90/H90-1</f>
        <v>1.2499999999999956E-2</v>
      </c>
      <c r="J92" s="64">
        <f t="shared" ref="J92" si="35">J90/I90-1</f>
        <v>3.7037037037036979E-2</v>
      </c>
      <c r="K92" s="64">
        <f t="shared" ref="K92" si="36">K90/J90-1</f>
        <v>4.7619047619047672E-2</v>
      </c>
      <c r="L92" s="64">
        <f t="shared" ref="L92" si="37">L90/K90-1</f>
        <v>7.575757575757569E-2</v>
      </c>
      <c r="M92" s="64">
        <f t="shared" ref="M92" si="38">M90/L90-1</f>
        <v>5.8098591549295753E-2</v>
      </c>
      <c r="N92" s="64">
        <f t="shared" ref="N92" si="39">N90/M90-1</f>
        <v>-2.1630615640599093E-2</v>
      </c>
      <c r="O92" s="199"/>
    </row>
    <row r="93" spans="2:16" s="148" customFormat="1" ht="14" customHeight="1" x14ac:dyDescent="0.25">
      <c r="B93" s="41">
        <v>2026</v>
      </c>
      <c r="C93" s="44">
        <v>57.6</v>
      </c>
      <c r="D93" s="44">
        <v>55.5</v>
      </c>
      <c r="E93" s="193">
        <v>69.5</v>
      </c>
      <c r="F93" s="193">
        <v>76.900000000000006</v>
      </c>
      <c r="G93" s="193">
        <v>78.400000000000006</v>
      </c>
      <c r="H93" s="193"/>
      <c r="I93" s="193"/>
      <c r="J93" s="193"/>
      <c r="K93" s="193"/>
      <c r="L93" s="193"/>
      <c r="M93" s="193"/>
      <c r="N93" s="193"/>
      <c r="O93" s="57"/>
    </row>
    <row r="94" spans="2:16" s="148" customFormat="1" ht="14" customHeight="1" x14ac:dyDescent="0.25">
      <c r="B94" s="176" t="s">
        <v>118</v>
      </c>
      <c r="C94" s="167">
        <f>C93/C90-1</f>
        <v>0.51578947368421058</v>
      </c>
      <c r="D94" s="167">
        <f>D93/D90-1</f>
        <v>0.59025787965616061</v>
      </c>
      <c r="E94" s="167">
        <f>E93/E90-1</f>
        <v>0.77749360613810725</v>
      </c>
      <c r="F94" s="167">
        <f>F93/F90-1</f>
        <v>0.81796690307328634</v>
      </c>
      <c r="G94" s="167">
        <f>G93/G90-1</f>
        <v>0.81062355658198637</v>
      </c>
      <c r="H94" s="167"/>
      <c r="I94" s="167"/>
      <c r="J94" s="167"/>
      <c r="K94" s="167"/>
      <c r="L94" s="167"/>
      <c r="M94" s="167"/>
      <c r="N94" s="167"/>
      <c r="O94" s="167"/>
    </row>
    <row r="95" spans="2:16" s="148" customFormat="1" ht="14" customHeight="1" x14ac:dyDescent="0.25">
      <c r="B95" s="176" t="s">
        <v>48</v>
      </c>
      <c r="C95" s="177">
        <f>C93/N90-1</f>
        <v>-2.0408163265306034E-2</v>
      </c>
      <c r="D95" s="167">
        <f>D93/C93-1</f>
        <v>-3.645833333333337E-2</v>
      </c>
      <c r="E95" s="167">
        <f>E93/D93-1</f>
        <v>0.25225225225225234</v>
      </c>
      <c r="F95" s="167">
        <f>F93/E93-1</f>
        <v>0.10647482014388499</v>
      </c>
      <c r="G95" s="167">
        <f>G93/F93-1</f>
        <v>1.950585175552666E-2</v>
      </c>
      <c r="H95" s="167"/>
      <c r="I95" s="167"/>
      <c r="J95" s="167"/>
      <c r="K95" s="167"/>
      <c r="L95" s="167"/>
      <c r="M95" s="167"/>
      <c r="N95" s="167"/>
      <c r="O95" s="137"/>
    </row>
    <row r="96" spans="2:16" ht="14" customHeight="1" x14ac:dyDescent="0.25">
      <c r="B96" s="53"/>
      <c r="C96" s="201"/>
      <c r="D96" s="201"/>
      <c r="E96" s="202"/>
      <c r="F96" s="202"/>
      <c r="G96" s="202"/>
      <c r="H96" s="202"/>
      <c r="I96" s="202"/>
    </row>
    <row r="97" spans="2:9" ht="14" customHeight="1" x14ac:dyDescent="0.25">
      <c r="B97" s="53"/>
      <c r="C97" s="201"/>
      <c r="D97" s="201"/>
      <c r="E97" s="202"/>
      <c r="F97" s="202"/>
      <c r="G97" s="202"/>
      <c r="H97" s="202"/>
      <c r="I97" s="202"/>
    </row>
    <row r="98" spans="2:9" ht="14" customHeight="1" x14ac:dyDescent="0.25">
      <c r="B98" s="53"/>
      <c r="C98" s="201"/>
      <c r="D98" s="201"/>
      <c r="E98" s="202"/>
      <c r="F98" s="202"/>
      <c r="G98" s="202"/>
      <c r="H98" s="202"/>
      <c r="I98" s="202"/>
    </row>
    <row r="99" spans="2:9" ht="14" customHeight="1" x14ac:dyDescent="0.25">
      <c r="B99" s="53"/>
      <c r="C99" s="201"/>
      <c r="D99" s="201"/>
      <c r="E99" s="202"/>
      <c r="F99" s="202"/>
      <c r="G99" s="202"/>
      <c r="H99" s="202"/>
      <c r="I99" s="202"/>
    </row>
    <row r="100" spans="2:9" ht="14" customHeight="1" x14ac:dyDescent="0.25">
      <c r="B100" s="53"/>
      <c r="C100" s="201"/>
      <c r="D100" s="201"/>
      <c r="E100" s="202"/>
      <c r="F100" s="202"/>
      <c r="G100" s="202"/>
      <c r="H100" s="202"/>
      <c r="I100" s="202"/>
    </row>
    <row r="101" spans="2:9" ht="14" customHeight="1" x14ac:dyDescent="0.25">
      <c r="B101" s="53"/>
      <c r="C101" s="201"/>
      <c r="D101" s="201"/>
      <c r="E101" s="202"/>
      <c r="F101" s="202"/>
      <c r="G101" s="202"/>
      <c r="H101" s="202"/>
      <c r="I101" s="202"/>
    </row>
    <row r="102" spans="2:9" ht="14" customHeight="1" x14ac:dyDescent="0.25">
      <c r="B102" s="53"/>
      <c r="C102" s="201"/>
      <c r="D102" s="201"/>
      <c r="E102" s="202"/>
      <c r="F102" s="202"/>
      <c r="G102" s="202"/>
      <c r="H102" s="202"/>
      <c r="I102" s="202"/>
    </row>
    <row r="103" spans="2:9" ht="14" customHeight="1" x14ac:dyDescent="0.25">
      <c r="B103" s="53"/>
      <c r="C103" s="201"/>
      <c r="D103" s="201"/>
      <c r="E103" s="202"/>
      <c r="F103" s="202"/>
      <c r="G103" s="202"/>
      <c r="H103" s="202"/>
      <c r="I103" s="202"/>
    </row>
    <row r="104" spans="2:9" ht="14" customHeight="1" x14ac:dyDescent="0.25">
      <c r="B104" s="53"/>
      <c r="C104" s="201"/>
      <c r="D104" s="201"/>
      <c r="E104" s="202"/>
      <c r="F104" s="202"/>
      <c r="G104" s="202"/>
      <c r="H104" s="202"/>
      <c r="I104" s="202"/>
    </row>
    <row r="105" spans="2:9" ht="14" customHeight="1" x14ac:dyDescent="0.25">
      <c r="B105" s="53"/>
      <c r="C105" s="201"/>
      <c r="D105" s="201"/>
      <c r="E105" s="202"/>
      <c r="F105" s="202"/>
      <c r="G105" s="202"/>
      <c r="H105" s="202"/>
      <c r="I105" s="202"/>
    </row>
    <row r="106" spans="2:9" ht="14" customHeight="1" x14ac:dyDescent="0.25">
      <c r="B106" s="53"/>
      <c r="C106" s="201"/>
      <c r="D106" s="201"/>
      <c r="E106" s="202"/>
      <c r="F106" s="202"/>
      <c r="G106" s="202"/>
      <c r="H106" s="202"/>
      <c r="I106" s="202"/>
    </row>
    <row r="107" spans="2:9" ht="14" customHeight="1" x14ac:dyDescent="0.25">
      <c r="B107" s="53"/>
      <c r="C107" s="201"/>
      <c r="D107" s="201"/>
      <c r="E107" s="202"/>
      <c r="F107" s="202"/>
      <c r="G107" s="202"/>
      <c r="H107" s="202"/>
      <c r="I107" s="202"/>
    </row>
    <row r="108" spans="2:9" ht="14" customHeight="1" x14ac:dyDescent="0.25">
      <c r="B108" s="53"/>
      <c r="C108" s="201"/>
      <c r="D108" s="201"/>
      <c r="E108" s="202"/>
      <c r="F108" s="202"/>
      <c r="G108" s="202"/>
      <c r="H108" s="202"/>
      <c r="I108" s="202"/>
    </row>
    <row r="109" spans="2:9" ht="14" customHeight="1" x14ac:dyDescent="0.25">
      <c r="B109" s="53"/>
      <c r="C109" s="201"/>
      <c r="D109" s="201"/>
      <c r="E109" s="202"/>
      <c r="F109" s="202"/>
      <c r="G109" s="202"/>
      <c r="H109" s="202"/>
      <c r="I109" s="202"/>
    </row>
    <row r="110" spans="2:9" ht="14" customHeight="1" x14ac:dyDescent="0.25">
      <c r="B110" s="53"/>
      <c r="C110" s="201"/>
      <c r="D110" s="201"/>
      <c r="E110" s="202"/>
      <c r="F110" s="202"/>
      <c r="G110" s="202"/>
      <c r="H110" s="202"/>
      <c r="I110" s="202"/>
    </row>
    <row r="111" spans="2:9" ht="14" customHeight="1" x14ac:dyDescent="0.25">
      <c r="B111" s="53"/>
      <c r="C111" s="201"/>
      <c r="D111" s="201"/>
      <c r="E111" s="202"/>
      <c r="F111" s="202"/>
      <c r="G111" s="202"/>
      <c r="H111" s="202"/>
      <c r="I111" s="202"/>
    </row>
    <row r="112" spans="2:9" ht="14" customHeight="1" x14ac:dyDescent="0.25">
      <c r="B112" s="53"/>
      <c r="C112" s="201"/>
      <c r="D112" s="201"/>
      <c r="E112" s="202"/>
      <c r="F112" s="202"/>
      <c r="G112" s="202"/>
      <c r="H112" s="202"/>
      <c r="I112" s="202"/>
    </row>
    <row r="113" spans="2:20" ht="14" customHeight="1" x14ac:dyDescent="0.25">
      <c r="B113" s="53"/>
      <c r="C113" s="201"/>
      <c r="D113" s="201"/>
      <c r="E113" s="202"/>
      <c r="F113" s="202"/>
      <c r="G113" s="202"/>
      <c r="H113" s="202"/>
      <c r="I113" s="202"/>
    </row>
    <row r="114" spans="2:20" ht="14" customHeight="1" x14ac:dyDescent="0.25">
      <c r="B114" s="53"/>
      <c r="C114" s="201"/>
      <c r="D114" s="201"/>
      <c r="E114" s="202"/>
      <c r="F114" s="202"/>
      <c r="G114" s="202"/>
      <c r="H114" s="202"/>
      <c r="I114" s="202"/>
    </row>
    <row r="115" spans="2:20" ht="14" customHeight="1" x14ac:dyDescent="0.25">
      <c r="B115" s="53"/>
      <c r="C115" s="201"/>
      <c r="D115" s="201"/>
      <c r="E115" s="202"/>
      <c r="F115" s="202"/>
      <c r="G115" s="202"/>
      <c r="H115" s="202"/>
      <c r="I115" s="202"/>
      <c r="P115" s="49"/>
      <c r="Q115" s="50"/>
      <c r="R115" s="49"/>
      <c r="S115" s="49"/>
    </row>
    <row r="116" spans="2:20" ht="14" customHeight="1" x14ac:dyDescent="0.25">
      <c r="B116" s="53"/>
      <c r="C116" s="201"/>
      <c r="D116" s="201"/>
      <c r="E116" s="202"/>
      <c r="F116" s="202"/>
      <c r="G116" s="202"/>
      <c r="H116" s="202"/>
      <c r="I116" s="202"/>
      <c r="P116" s="44"/>
      <c r="Q116" s="193"/>
      <c r="R116" s="46"/>
      <c r="S116" s="193"/>
      <c r="T116" s="193"/>
    </row>
    <row r="117" spans="2:20" ht="14" customHeight="1" x14ac:dyDescent="0.25">
      <c r="B117" s="53"/>
      <c r="C117" s="201"/>
      <c r="D117" s="201"/>
      <c r="E117" s="202"/>
      <c r="F117" s="202"/>
      <c r="G117" s="202"/>
      <c r="H117" s="202"/>
      <c r="I117" s="202"/>
    </row>
    <row r="118" spans="2:20" ht="14" customHeight="1" x14ac:dyDescent="0.25">
      <c r="B118" s="53"/>
      <c r="C118" s="201"/>
      <c r="D118" s="201"/>
      <c r="E118" s="202"/>
      <c r="F118" s="202"/>
      <c r="G118" s="202"/>
      <c r="H118" s="202"/>
      <c r="I118" s="202"/>
    </row>
    <row r="119" spans="2:20" ht="14" customHeight="1" x14ac:dyDescent="0.25">
      <c r="B119" s="53"/>
      <c r="C119" s="201"/>
      <c r="D119" s="201"/>
      <c r="E119" s="202"/>
      <c r="F119" s="202"/>
      <c r="G119" s="202"/>
      <c r="H119" s="202"/>
      <c r="I119" s="202"/>
    </row>
    <row r="120" spans="2:20" ht="14" customHeight="1" x14ac:dyDescent="0.25">
      <c r="B120" s="53"/>
      <c r="C120" s="201"/>
      <c r="D120" s="201"/>
      <c r="E120" s="202"/>
      <c r="F120" s="202"/>
      <c r="G120" s="202"/>
      <c r="H120" s="202"/>
      <c r="I120" s="202"/>
    </row>
    <row r="121" spans="2:20" ht="14" customHeight="1" x14ac:dyDescent="0.25">
      <c r="B121" s="53"/>
      <c r="C121" s="201"/>
      <c r="D121" s="201"/>
      <c r="E121" s="202"/>
      <c r="F121" s="202"/>
      <c r="G121" s="202"/>
      <c r="H121" s="202"/>
      <c r="I121" s="202"/>
    </row>
    <row r="122" spans="2:20" ht="14" customHeight="1" x14ac:dyDescent="0.25">
      <c r="B122" s="53"/>
      <c r="C122" s="201"/>
      <c r="D122" s="201"/>
      <c r="E122" s="202"/>
      <c r="F122" s="202"/>
      <c r="G122" s="202"/>
      <c r="H122" s="202"/>
      <c r="I122" s="202"/>
    </row>
    <row r="123" spans="2:20" ht="14" customHeight="1" x14ac:dyDescent="0.25">
      <c r="B123" s="53"/>
      <c r="C123" s="201"/>
      <c r="D123" s="201"/>
      <c r="E123" s="202"/>
      <c r="F123" s="202"/>
      <c r="G123" s="202"/>
      <c r="H123" s="202"/>
      <c r="I123" s="202"/>
    </row>
    <row r="124" spans="2:20" ht="14" customHeight="1" x14ac:dyDescent="0.25">
      <c r="B124" s="53"/>
      <c r="C124" s="201"/>
      <c r="D124" s="201"/>
      <c r="E124" s="202"/>
      <c r="F124" s="202"/>
      <c r="G124" s="202"/>
      <c r="H124" s="202"/>
      <c r="I124" s="202"/>
    </row>
    <row r="125" spans="2:20" ht="14" customHeight="1" x14ac:dyDescent="0.25">
      <c r="B125" s="53"/>
      <c r="C125" s="201"/>
      <c r="D125" s="201"/>
      <c r="E125" s="202"/>
      <c r="F125" s="202"/>
      <c r="G125" s="202"/>
      <c r="H125" s="202"/>
      <c r="I125" s="202"/>
    </row>
    <row r="126" spans="2:20" ht="14" customHeight="1" x14ac:dyDescent="0.25">
      <c r="B126" s="53"/>
      <c r="C126" s="201"/>
      <c r="D126" s="201"/>
      <c r="E126" s="202"/>
      <c r="F126" s="202"/>
      <c r="G126" s="202"/>
      <c r="H126" s="202"/>
      <c r="I126" s="202"/>
    </row>
    <row r="127" spans="2:20" ht="14" customHeight="1" x14ac:dyDescent="0.25">
      <c r="B127" s="53"/>
      <c r="C127" s="201"/>
      <c r="D127" s="201"/>
      <c r="E127" s="202"/>
      <c r="F127" s="202"/>
      <c r="G127" s="202"/>
      <c r="H127" s="202"/>
      <c r="I127" s="202"/>
    </row>
    <row r="128" spans="2:20" ht="14" customHeight="1" x14ac:dyDescent="0.25">
      <c r="B128" s="53"/>
      <c r="C128" s="201"/>
      <c r="D128" s="201"/>
      <c r="E128" s="202"/>
      <c r="F128" s="202"/>
      <c r="G128" s="202"/>
      <c r="H128" s="202"/>
      <c r="I128" s="202"/>
    </row>
    <row r="129" spans="2:9" ht="14" customHeight="1" x14ac:dyDescent="0.25">
      <c r="B129" s="53"/>
      <c r="C129" s="201"/>
      <c r="D129" s="201"/>
      <c r="E129" s="202"/>
      <c r="F129" s="202"/>
      <c r="G129" s="202"/>
      <c r="H129" s="202"/>
      <c r="I129" s="202"/>
    </row>
    <row r="130" spans="2:9" ht="14" customHeight="1" x14ac:dyDescent="0.25">
      <c r="B130" s="53"/>
      <c r="C130" s="201"/>
      <c r="D130" s="201"/>
      <c r="E130" s="202"/>
      <c r="F130" s="202"/>
      <c r="G130" s="202"/>
      <c r="H130" s="202"/>
      <c r="I130" s="202"/>
    </row>
    <row r="131" spans="2:9" ht="14" customHeight="1" x14ac:dyDescent="0.25">
      <c r="B131" s="53"/>
      <c r="C131" s="201"/>
      <c r="D131" s="201"/>
      <c r="E131" s="202"/>
      <c r="F131" s="202"/>
      <c r="G131" s="202"/>
      <c r="H131" s="202"/>
      <c r="I131" s="202"/>
    </row>
    <row r="132" spans="2:9" ht="14" customHeight="1" x14ac:dyDescent="0.25">
      <c r="B132" s="53"/>
      <c r="C132" s="201"/>
      <c r="D132" s="201"/>
      <c r="E132" s="202"/>
      <c r="F132" s="202"/>
      <c r="G132" s="202"/>
      <c r="H132" s="202"/>
      <c r="I132" s="202"/>
    </row>
    <row r="133" spans="2:9" ht="14" customHeight="1" x14ac:dyDescent="0.25">
      <c r="B133" s="53"/>
      <c r="C133" s="201"/>
      <c r="D133" s="201"/>
      <c r="E133" s="202"/>
      <c r="F133" s="202"/>
      <c r="G133" s="202"/>
      <c r="H133" s="202"/>
      <c r="I133" s="202"/>
    </row>
    <row r="134" spans="2:9" ht="14" customHeight="1" x14ac:dyDescent="0.25">
      <c r="B134" s="53"/>
      <c r="C134" s="201"/>
      <c r="D134" s="201"/>
      <c r="E134" s="202"/>
      <c r="F134" s="202"/>
      <c r="G134" s="202"/>
      <c r="H134" s="202"/>
      <c r="I134" s="202"/>
    </row>
    <row r="135" spans="2:9" ht="14" customHeight="1" x14ac:dyDescent="0.25">
      <c r="B135" s="53"/>
      <c r="C135" s="201"/>
      <c r="D135" s="201"/>
      <c r="E135" s="202"/>
      <c r="F135" s="202"/>
      <c r="G135" s="202"/>
      <c r="H135" s="202"/>
      <c r="I135" s="202"/>
    </row>
    <row r="136" spans="2:9" ht="14" customHeight="1" x14ac:dyDescent="0.25">
      <c r="B136" s="53"/>
      <c r="C136" s="201"/>
      <c r="D136" s="201"/>
      <c r="E136" s="202"/>
      <c r="F136" s="202"/>
      <c r="G136" s="202"/>
      <c r="H136" s="202"/>
      <c r="I136" s="202"/>
    </row>
    <row r="137" spans="2:9" ht="14" customHeight="1" x14ac:dyDescent="0.25">
      <c r="B137" s="53"/>
      <c r="C137" s="201"/>
      <c r="D137" s="201"/>
      <c r="E137" s="202"/>
      <c r="F137" s="202"/>
      <c r="G137" s="202"/>
      <c r="H137" s="202"/>
      <c r="I137" s="202"/>
    </row>
    <row r="138" spans="2:9" ht="14" customHeight="1" x14ac:dyDescent="0.25">
      <c r="B138" s="53"/>
      <c r="C138" s="201"/>
      <c r="D138" s="201"/>
      <c r="E138" s="202"/>
      <c r="F138" s="202"/>
      <c r="G138" s="202"/>
      <c r="H138" s="202"/>
      <c r="I138" s="202"/>
    </row>
    <row r="139" spans="2:9" ht="14" customHeight="1" x14ac:dyDescent="0.25">
      <c r="B139" s="53"/>
      <c r="C139" s="201"/>
      <c r="D139" s="201"/>
      <c r="E139" s="202"/>
      <c r="F139" s="202"/>
      <c r="G139" s="202"/>
      <c r="H139" s="202"/>
      <c r="I139" s="202"/>
    </row>
    <row r="140" spans="2:9" ht="14" customHeight="1" x14ac:dyDescent="0.25">
      <c r="B140" s="53"/>
      <c r="C140" s="201"/>
      <c r="D140" s="201"/>
      <c r="E140" s="202"/>
      <c r="F140" s="202"/>
      <c r="G140" s="202"/>
      <c r="H140" s="202"/>
      <c r="I140" s="202"/>
    </row>
    <row r="141" spans="2:9" ht="14" customHeight="1" x14ac:dyDescent="0.25">
      <c r="B141" s="53"/>
      <c r="C141" s="201"/>
      <c r="D141" s="201"/>
      <c r="E141" s="202"/>
      <c r="F141" s="202"/>
      <c r="G141" s="202"/>
      <c r="H141" s="202"/>
      <c r="I141" s="202"/>
    </row>
    <row r="142" spans="2:9" ht="14" customHeight="1" x14ac:dyDescent="0.25">
      <c r="B142" s="53"/>
      <c r="C142" s="201"/>
      <c r="D142" s="201"/>
      <c r="E142" s="202"/>
      <c r="F142" s="202"/>
      <c r="G142" s="202"/>
      <c r="H142" s="202"/>
      <c r="I142" s="202"/>
    </row>
    <row r="143" spans="2:9" ht="14" customHeight="1" x14ac:dyDescent="0.25">
      <c r="B143" s="53"/>
    </row>
    <row r="144" spans="2:9" ht="14" customHeight="1" x14ac:dyDescent="0.25">
      <c r="B144" s="53"/>
    </row>
    <row r="145" spans="2:17" ht="14" customHeight="1" x14ac:dyDescent="0.25">
      <c r="B145" s="53"/>
    </row>
    <row r="146" spans="2:17" ht="14" customHeight="1" x14ac:dyDescent="0.25">
      <c r="B146" s="53"/>
    </row>
    <row r="147" spans="2:17" ht="14" customHeight="1" x14ac:dyDescent="0.25">
      <c r="B147" s="53"/>
    </row>
    <row r="148" spans="2:17" ht="14" customHeight="1" x14ac:dyDescent="0.25">
      <c r="B148" s="53"/>
    </row>
    <row r="149" spans="2:17" ht="14" customHeight="1" x14ac:dyDescent="0.25">
      <c r="B149" s="53"/>
    </row>
    <row r="150" spans="2:17" ht="14" customHeight="1" x14ac:dyDescent="0.25">
      <c r="B150" s="53"/>
    </row>
    <row r="151" spans="2:17" ht="14" customHeight="1" x14ac:dyDescent="0.25">
      <c r="B151" s="53"/>
    </row>
    <row r="152" spans="2:17" ht="14" customHeight="1" x14ac:dyDescent="0.25">
      <c r="B152" s="53"/>
    </row>
    <row r="153" spans="2:17" ht="14" customHeight="1" x14ac:dyDescent="0.25">
      <c r="B153" s="53"/>
    </row>
    <row r="154" spans="2:17" ht="14" customHeight="1" x14ac:dyDescent="0.25"/>
    <row r="155" spans="2:17" ht="14" customHeight="1" x14ac:dyDescent="0.25"/>
    <row r="156" spans="2:17" ht="14" customHeight="1" x14ac:dyDescent="0.25">
      <c r="P156" s="148"/>
      <c r="Q156" s="148"/>
    </row>
    <row r="157" spans="2:17" ht="14" customHeight="1" x14ac:dyDescent="0.25">
      <c r="B157" s="47"/>
      <c r="C157" s="148"/>
      <c r="D157" s="148"/>
      <c r="E157" s="148"/>
      <c r="F157" s="148"/>
      <c r="G157" s="148"/>
      <c r="H157" s="148"/>
      <c r="I157" s="148"/>
      <c r="J157" s="148"/>
      <c r="K157" s="148"/>
      <c r="L157" s="148"/>
      <c r="M157" s="148"/>
      <c r="N157" s="148"/>
      <c r="O157" s="148"/>
    </row>
    <row r="158" spans="2:17" ht="14" customHeight="1" x14ac:dyDescent="0.25"/>
    <row r="159" spans="2:17" ht="14" customHeight="1" x14ac:dyDescent="0.25"/>
    <row r="160" spans="2:17" ht="14" customHeight="1" x14ac:dyDescent="0.25"/>
    <row r="161" ht="14" customHeight="1" x14ac:dyDescent="0.25"/>
    <row r="162" ht="14" customHeight="1" x14ac:dyDescent="0.25"/>
    <row r="163" ht="14" customHeight="1" x14ac:dyDescent="0.25"/>
    <row r="164" ht="14" customHeight="1" x14ac:dyDescent="0.25"/>
    <row r="165" ht="14" customHeight="1" x14ac:dyDescent="0.25"/>
    <row r="166" ht="14" customHeight="1" x14ac:dyDescent="0.25"/>
    <row r="167" ht="14" customHeight="1" x14ac:dyDescent="0.25"/>
    <row r="168" ht="14" customHeight="1" x14ac:dyDescent="0.25"/>
    <row r="169" ht="14" customHeight="1" x14ac:dyDescent="0.25"/>
  </sheetData>
  <phoneticPr fontId="17" type="noConversion"/>
  <pageMargins left="0.7" right="0.7" top="0.75" bottom="0.75" header="0.3" footer="0.3"/>
  <ignoredErrors>
    <ignoredError sqref="O4:O8 O18:O20 O39:O43 O53:O55 O21 O56 O77 O74:O76 O86:O90 N88"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61"/>
  <sheetViews>
    <sheetView topLeftCell="A10" zoomScale="90" zoomScaleNormal="90" workbookViewId="0">
      <selection activeCell="G19" sqref="G19"/>
    </sheetView>
  </sheetViews>
  <sheetFormatPr defaultColWidth="9.5" defaultRowHeight="11.55" x14ac:dyDescent="0.25"/>
  <cols>
    <col min="1" max="1" width="5.69921875" style="203" customWidth="1"/>
    <col min="2" max="2" width="20.69921875" style="203" customWidth="1"/>
    <col min="3" max="15" width="10.69921875" style="203" customWidth="1"/>
    <col min="16" max="16" width="12.59765625" style="203" customWidth="1"/>
    <col min="17" max="17" width="9.8984375" style="203" customWidth="1"/>
    <col min="18" max="29" width="9.69921875" style="203" customWidth="1"/>
    <col min="30" max="16384" width="9.5" style="203"/>
  </cols>
  <sheetData>
    <row r="1" spans="2:19" ht="14" customHeight="1" x14ac:dyDescent="0.25">
      <c r="B1" s="38" t="s">
        <v>122</v>
      </c>
    </row>
    <row r="2" spans="2:19" ht="14" customHeight="1" x14ac:dyDescent="0.25">
      <c r="B2" s="39" t="s">
        <v>194</v>
      </c>
      <c r="C2" s="40" t="s">
        <v>94</v>
      </c>
      <c r="D2" s="40" t="s">
        <v>95</v>
      </c>
      <c r="E2" s="40" t="s">
        <v>96</v>
      </c>
      <c r="F2" s="40" t="s">
        <v>97</v>
      </c>
      <c r="G2" s="40" t="s">
        <v>98</v>
      </c>
      <c r="H2" s="40" t="s">
        <v>99</v>
      </c>
      <c r="I2" s="40" t="s">
        <v>100</v>
      </c>
      <c r="J2" s="40" t="s">
        <v>101</v>
      </c>
      <c r="K2" s="40" t="s">
        <v>102</v>
      </c>
      <c r="L2" s="40" t="s">
        <v>103</v>
      </c>
      <c r="M2" s="40" t="s">
        <v>104</v>
      </c>
      <c r="N2" s="40" t="s">
        <v>105</v>
      </c>
      <c r="O2" s="39" t="s">
        <v>38</v>
      </c>
      <c r="P2" s="30"/>
      <c r="Q2" s="31"/>
    </row>
    <row r="3" spans="2:19" ht="14" customHeight="1" x14ac:dyDescent="0.25">
      <c r="B3" s="15" t="s">
        <v>69</v>
      </c>
      <c r="C3" s="15">
        <v>205518</v>
      </c>
      <c r="D3" s="15">
        <v>187782</v>
      </c>
      <c r="E3" s="15">
        <v>295693</v>
      </c>
      <c r="F3" s="15">
        <v>314100</v>
      </c>
      <c r="G3" s="15">
        <v>376990</v>
      </c>
      <c r="H3" s="15"/>
      <c r="I3" s="15"/>
      <c r="J3" s="15"/>
      <c r="K3" s="15"/>
      <c r="L3" s="15"/>
      <c r="M3" s="15"/>
      <c r="N3" s="15"/>
      <c r="O3" s="15"/>
      <c r="P3" s="32"/>
      <c r="Q3" s="33"/>
      <c r="R3" s="34"/>
      <c r="S3" s="34"/>
    </row>
    <row r="4" spans="2:19" ht="14" customHeight="1" x14ac:dyDescent="0.25">
      <c r="B4" s="15" t="s">
        <v>89</v>
      </c>
      <c r="C4" s="15">
        <v>124252</v>
      </c>
      <c r="D4" s="15">
        <v>117488</v>
      </c>
      <c r="E4" s="15">
        <v>127319</v>
      </c>
      <c r="F4" s="15">
        <v>135591</v>
      </c>
      <c r="G4" s="15">
        <v>131037</v>
      </c>
      <c r="H4" s="15"/>
      <c r="I4" s="15"/>
      <c r="J4" s="15"/>
      <c r="K4" s="15"/>
      <c r="L4" s="15"/>
      <c r="M4" s="15"/>
      <c r="N4" s="15"/>
      <c r="O4" s="15"/>
      <c r="P4" s="30"/>
      <c r="Q4" s="31"/>
      <c r="R4" s="32"/>
      <c r="S4" s="33"/>
    </row>
    <row r="5" spans="2:19" ht="14" customHeight="1" x14ac:dyDescent="0.25">
      <c r="B5" s="15" t="s">
        <v>196</v>
      </c>
      <c r="C5" s="15">
        <v>46802</v>
      </c>
      <c r="D5" s="15">
        <v>36091</v>
      </c>
      <c r="E5" s="15">
        <v>64014</v>
      </c>
      <c r="F5" s="15">
        <v>93043</v>
      </c>
      <c r="G5" s="15">
        <v>94806</v>
      </c>
      <c r="H5" s="15"/>
      <c r="I5" s="15"/>
      <c r="J5" s="15"/>
      <c r="K5" s="15"/>
      <c r="L5" s="15"/>
      <c r="M5" s="15"/>
      <c r="N5" s="15"/>
      <c r="O5" s="15"/>
      <c r="P5" s="32"/>
      <c r="Q5" s="33"/>
      <c r="R5" s="32"/>
      <c r="S5" s="33"/>
    </row>
    <row r="6" spans="2:19" ht="14" customHeight="1" x14ac:dyDescent="0.25">
      <c r="B6" s="15" t="s">
        <v>195</v>
      </c>
      <c r="C6" s="15">
        <v>69129</v>
      </c>
      <c r="D6" s="15">
        <v>58599</v>
      </c>
      <c r="E6" s="15">
        <v>85670</v>
      </c>
      <c r="F6" s="15">
        <v>79478</v>
      </c>
      <c r="G6" s="15">
        <v>85982</v>
      </c>
      <c r="H6" s="15"/>
      <c r="I6" s="15"/>
      <c r="J6" s="15"/>
      <c r="K6" s="15"/>
      <c r="L6" s="15"/>
      <c r="M6" s="15"/>
      <c r="N6" s="15"/>
      <c r="O6" s="15"/>
      <c r="P6" s="32"/>
      <c r="Q6" s="33"/>
      <c r="R6" s="32"/>
      <c r="S6" s="33"/>
    </row>
    <row r="7" spans="2:19" ht="14" customHeight="1" x14ac:dyDescent="0.25">
      <c r="B7" s="15" t="s">
        <v>75</v>
      </c>
      <c r="C7" s="15">
        <v>32059</v>
      </c>
      <c r="D7" s="15">
        <v>28067</v>
      </c>
      <c r="E7" s="15">
        <v>33420</v>
      </c>
      <c r="F7" s="15">
        <v>71387</v>
      </c>
      <c r="G7" s="15">
        <v>81569</v>
      </c>
      <c r="H7" s="15"/>
      <c r="I7" s="15"/>
      <c r="J7" s="15"/>
      <c r="K7" s="15"/>
      <c r="L7" s="15"/>
      <c r="M7" s="15"/>
      <c r="N7" s="15"/>
      <c r="O7" s="15"/>
      <c r="P7" s="32"/>
      <c r="Q7" s="33"/>
      <c r="R7" s="32"/>
      <c r="S7" s="33"/>
    </row>
    <row r="8" spans="2:19" ht="14" customHeight="1" x14ac:dyDescent="0.25">
      <c r="B8" s="15" t="s">
        <v>201</v>
      </c>
      <c r="C8" s="15">
        <v>27625</v>
      </c>
      <c r="D8" s="15">
        <v>26874</v>
      </c>
      <c r="E8" s="15">
        <v>40441</v>
      </c>
      <c r="F8" s="15">
        <v>43990</v>
      </c>
      <c r="G8" s="15">
        <v>64748</v>
      </c>
      <c r="H8" s="15"/>
      <c r="I8" s="15"/>
      <c r="J8" s="15"/>
      <c r="K8" s="15"/>
      <c r="L8" s="15"/>
      <c r="M8" s="15"/>
      <c r="N8" s="15"/>
      <c r="O8" s="15"/>
      <c r="P8" s="32"/>
      <c r="Q8" s="33"/>
      <c r="R8" s="32"/>
      <c r="S8" s="33"/>
    </row>
    <row r="9" spans="2:19" ht="14" customHeight="1" x14ac:dyDescent="0.25">
      <c r="B9" s="15" t="s">
        <v>204</v>
      </c>
      <c r="C9" s="15">
        <v>26974</v>
      </c>
      <c r="D9" s="15">
        <v>40886</v>
      </c>
      <c r="E9" s="15">
        <v>64439</v>
      </c>
      <c r="F9" s="15">
        <v>46758</v>
      </c>
      <c r="G9" s="15">
        <v>63263</v>
      </c>
      <c r="H9" s="15"/>
      <c r="I9" s="15"/>
      <c r="J9" s="15"/>
      <c r="K9" s="15"/>
      <c r="L9" s="15"/>
      <c r="M9" s="15"/>
      <c r="N9" s="15"/>
      <c r="O9" s="15"/>
      <c r="P9" s="32"/>
      <c r="Q9" s="33"/>
      <c r="R9" s="32"/>
      <c r="S9" s="33"/>
    </row>
    <row r="10" spans="2:19" ht="14" customHeight="1" x14ac:dyDescent="0.25">
      <c r="B10" s="15" t="s">
        <v>199</v>
      </c>
      <c r="C10" s="15">
        <v>28179</v>
      </c>
      <c r="D10" s="15">
        <v>21962</v>
      </c>
      <c r="E10" s="15">
        <v>34360</v>
      </c>
      <c r="F10" s="15">
        <v>43139</v>
      </c>
      <c r="G10" s="15">
        <v>46643</v>
      </c>
      <c r="H10" s="15"/>
      <c r="I10" s="15"/>
      <c r="J10" s="15"/>
      <c r="K10" s="15"/>
      <c r="L10" s="15"/>
      <c r="M10" s="15"/>
      <c r="N10" s="15"/>
      <c r="O10" s="15"/>
      <c r="P10" s="32"/>
      <c r="Q10" s="33"/>
      <c r="R10" s="32"/>
      <c r="S10" s="33"/>
    </row>
    <row r="11" spans="2:19" ht="14" customHeight="1" x14ac:dyDescent="0.25">
      <c r="B11" s="15" t="s">
        <v>203</v>
      </c>
      <c r="C11" s="15">
        <v>27182</v>
      </c>
      <c r="D11" s="15">
        <v>20797</v>
      </c>
      <c r="E11" s="15">
        <v>35383</v>
      </c>
      <c r="F11" s="15">
        <v>29356</v>
      </c>
      <c r="G11" s="15">
        <v>37705</v>
      </c>
      <c r="H11" s="15"/>
      <c r="I11" s="15"/>
      <c r="J11" s="15"/>
      <c r="K11" s="15"/>
      <c r="L11" s="15"/>
      <c r="M11" s="15"/>
      <c r="N11" s="15"/>
      <c r="O11" s="15"/>
      <c r="P11" s="30"/>
      <c r="Q11" s="31"/>
      <c r="R11" s="32"/>
      <c r="S11" s="33"/>
    </row>
    <row r="12" spans="2:19" ht="14" customHeight="1" x14ac:dyDescent="0.25">
      <c r="B12" s="15" t="s">
        <v>202</v>
      </c>
      <c r="C12" s="15">
        <v>27431</v>
      </c>
      <c r="D12" s="15">
        <v>21817</v>
      </c>
      <c r="E12" s="15">
        <v>28998</v>
      </c>
      <c r="F12" s="15">
        <v>35023</v>
      </c>
      <c r="G12" s="15">
        <v>36877</v>
      </c>
      <c r="H12" s="15"/>
      <c r="I12" s="15"/>
      <c r="J12" s="15"/>
      <c r="K12" s="15"/>
      <c r="L12" s="15"/>
      <c r="M12" s="15"/>
      <c r="N12" s="15"/>
      <c r="O12" s="15"/>
      <c r="P12" s="32"/>
      <c r="Q12" s="33"/>
      <c r="R12" s="32"/>
      <c r="S12" s="33"/>
    </row>
    <row r="13" spans="2:19" ht="14" customHeight="1" x14ac:dyDescent="0.25">
      <c r="B13" s="15" t="s">
        <v>200</v>
      </c>
      <c r="C13" s="15">
        <v>27668</v>
      </c>
      <c r="D13" s="15">
        <v>26421</v>
      </c>
      <c r="E13" s="15">
        <v>41053</v>
      </c>
      <c r="F13" s="15">
        <v>34085</v>
      </c>
      <c r="G13" s="15">
        <v>33350</v>
      </c>
      <c r="H13" s="15"/>
      <c r="I13" s="15"/>
      <c r="J13" s="15"/>
      <c r="K13" s="15"/>
      <c r="L13" s="15"/>
      <c r="M13" s="15"/>
      <c r="N13" s="15"/>
      <c r="O13" s="15"/>
      <c r="P13" s="32"/>
      <c r="Q13" s="33"/>
      <c r="R13" s="32"/>
      <c r="S13" s="33"/>
    </row>
    <row r="14" spans="2:19" ht="14" customHeight="1" x14ac:dyDescent="0.25">
      <c r="B14" s="15" t="s">
        <v>198</v>
      </c>
      <c r="C14" s="15">
        <v>39002</v>
      </c>
      <c r="D14" s="15">
        <v>20414</v>
      </c>
      <c r="E14" s="15">
        <v>21440</v>
      </c>
      <c r="F14" s="15">
        <v>36702</v>
      </c>
      <c r="G14" s="15">
        <v>32759</v>
      </c>
      <c r="H14" s="15"/>
      <c r="I14" s="15"/>
      <c r="J14" s="15"/>
      <c r="K14" s="15"/>
      <c r="L14" s="15"/>
      <c r="M14" s="15"/>
      <c r="N14" s="15"/>
      <c r="O14" s="15"/>
      <c r="P14" s="32"/>
      <c r="Q14" s="33"/>
      <c r="R14" s="32"/>
      <c r="S14" s="33"/>
    </row>
    <row r="15" spans="2:19" ht="14" customHeight="1" x14ac:dyDescent="0.25">
      <c r="B15" s="15" t="s">
        <v>206</v>
      </c>
      <c r="C15" s="15">
        <v>20011</v>
      </c>
      <c r="D15" s="15">
        <v>15256</v>
      </c>
      <c r="E15" s="15">
        <v>22710</v>
      </c>
      <c r="F15" s="15">
        <v>31011</v>
      </c>
      <c r="G15" s="15">
        <v>32158</v>
      </c>
      <c r="H15" s="15"/>
      <c r="I15" s="15"/>
      <c r="J15" s="15"/>
      <c r="K15" s="15"/>
      <c r="L15" s="15"/>
      <c r="M15" s="15"/>
      <c r="N15" s="15"/>
      <c r="O15" s="15"/>
      <c r="P15" s="32"/>
      <c r="Q15" s="33"/>
      <c r="R15" s="32"/>
      <c r="S15" s="33"/>
    </row>
    <row r="16" spans="2:19" ht="14" customHeight="1" x14ac:dyDescent="0.25">
      <c r="B16" s="15" t="s">
        <v>205</v>
      </c>
      <c r="C16" s="15">
        <v>21635</v>
      </c>
      <c r="D16" s="15">
        <v>11742</v>
      </c>
      <c r="E16" s="15">
        <v>33044</v>
      </c>
      <c r="F16" s="15">
        <v>38034</v>
      </c>
      <c r="G16" s="15">
        <v>31936</v>
      </c>
      <c r="H16" s="15"/>
      <c r="I16" s="15"/>
      <c r="J16" s="15"/>
      <c r="K16" s="15"/>
      <c r="L16" s="15"/>
      <c r="M16" s="15"/>
      <c r="N16" s="15"/>
      <c r="O16" s="15"/>
      <c r="Q16" s="204"/>
      <c r="R16" s="32"/>
      <c r="S16" s="33"/>
    </row>
    <row r="17" spans="1:19" ht="14" customHeight="1" x14ac:dyDescent="0.25">
      <c r="A17" s="216"/>
      <c r="B17" s="15" t="s">
        <v>207</v>
      </c>
      <c r="C17" s="15">
        <v>18019</v>
      </c>
      <c r="D17" s="15">
        <v>12741</v>
      </c>
      <c r="E17" s="15">
        <v>21857</v>
      </c>
      <c r="F17" s="15">
        <v>26777</v>
      </c>
      <c r="G17" s="15">
        <v>30426</v>
      </c>
      <c r="H17" s="15"/>
      <c r="I17" s="15"/>
      <c r="J17" s="15"/>
      <c r="K17" s="15"/>
      <c r="L17" s="15"/>
      <c r="M17" s="15"/>
      <c r="N17" s="15"/>
      <c r="O17" s="15"/>
      <c r="Q17" s="204"/>
      <c r="R17" s="32"/>
      <c r="S17" s="33"/>
    </row>
    <row r="18" spans="1:19" ht="14" customHeight="1" x14ac:dyDescent="0.25">
      <c r="A18" s="216"/>
      <c r="B18" s="15" t="s">
        <v>197</v>
      </c>
      <c r="C18" s="15">
        <v>40200</v>
      </c>
      <c r="D18" s="15">
        <v>10025</v>
      </c>
      <c r="E18" s="15">
        <v>20012</v>
      </c>
      <c r="F18" s="15">
        <v>30168</v>
      </c>
      <c r="G18" s="15">
        <v>30339</v>
      </c>
      <c r="H18" s="15"/>
      <c r="I18" s="15"/>
      <c r="J18" s="15"/>
      <c r="K18" s="15"/>
      <c r="L18" s="15"/>
      <c r="M18" s="15"/>
      <c r="N18" s="15"/>
      <c r="O18" s="15"/>
      <c r="Q18" s="204"/>
      <c r="R18" s="32"/>
      <c r="S18" s="33"/>
    </row>
    <row r="19" spans="1:19" ht="14" customHeight="1" x14ac:dyDescent="0.25">
      <c r="B19" s="15" t="s">
        <v>208</v>
      </c>
      <c r="C19" s="15">
        <f>SUM(C3:C18)</f>
        <v>781686</v>
      </c>
      <c r="D19" s="15">
        <f>SUM(D3:D18)</f>
        <v>656962</v>
      </c>
      <c r="E19" s="15">
        <f>SUM(E3:E18)</f>
        <v>969853</v>
      </c>
      <c r="F19" s="15">
        <f>SUM(F3:F18)</f>
        <v>1088642</v>
      </c>
      <c r="G19" s="15">
        <f>SUM(G3:G18)</f>
        <v>1210588</v>
      </c>
      <c r="H19" s="15"/>
      <c r="I19" s="15"/>
      <c r="J19" s="15"/>
      <c r="K19" s="15"/>
      <c r="L19" s="15"/>
      <c r="M19" s="15"/>
      <c r="N19" s="15"/>
      <c r="O19" s="15"/>
      <c r="R19" s="32"/>
      <c r="S19" s="32"/>
    </row>
    <row r="20" spans="1:19" ht="14" customHeight="1" x14ac:dyDescent="0.25">
      <c r="B20" s="23" t="s">
        <v>83</v>
      </c>
      <c r="C20" s="23">
        <v>867000</v>
      </c>
      <c r="D20" s="23">
        <v>723000</v>
      </c>
      <c r="E20" s="23">
        <v>1144000</v>
      </c>
      <c r="F20" s="29">
        <v>1225000</v>
      </c>
      <c r="G20" s="29">
        <v>1352000</v>
      </c>
      <c r="H20" s="29"/>
      <c r="I20" s="29"/>
      <c r="J20" s="29"/>
      <c r="K20" s="29"/>
      <c r="L20" s="29"/>
      <c r="M20" s="29"/>
      <c r="N20" s="29"/>
      <c r="O20" s="29"/>
    </row>
    <row r="21" spans="1:19" ht="14" customHeight="1" x14ac:dyDescent="0.25">
      <c r="B21" s="15" t="s">
        <v>209</v>
      </c>
      <c r="C21" s="25">
        <f>C19/C20</f>
        <v>0.901598615916955</v>
      </c>
      <c r="D21" s="25">
        <f>D19/D20</f>
        <v>0.90866113416320882</v>
      </c>
      <c r="E21" s="25">
        <f>E19/E20</f>
        <v>0.84777360139860136</v>
      </c>
      <c r="F21" s="25">
        <f>F19/F20</f>
        <v>0.88868734693877549</v>
      </c>
      <c r="G21" s="25">
        <f>G19/G20</f>
        <v>0.89540532544378704</v>
      </c>
      <c r="H21" s="25"/>
      <c r="I21" s="25"/>
      <c r="J21" s="25"/>
      <c r="K21" s="25"/>
      <c r="L21" s="25"/>
      <c r="M21" s="25"/>
      <c r="N21" s="25"/>
      <c r="O21" s="25"/>
      <c r="P21" s="25"/>
    </row>
    <row r="22" spans="1:19" ht="14" customHeight="1" x14ac:dyDescent="0.25">
      <c r="B22" s="15" t="s">
        <v>85</v>
      </c>
      <c r="C22" s="23">
        <v>1973000</v>
      </c>
      <c r="D22" s="23">
        <v>1518000</v>
      </c>
      <c r="E22" s="23">
        <v>2378000</v>
      </c>
      <c r="F22" s="29">
        <v>2110000</v>
      </c>
      <c r="G22" s="23">
        <v>2212000</v>
      </c>
      <c r="H22" s="23"/>
      <c r="I22" s="23"/>
      <c r="J22" s="23"/>
      <c r="K22" s="23"/>
      <c r="L22" s="23"/>
      <c r="M22" s="23"/>
      <c r="N22" s="23"/>
      <c r="O22" s="29"/>
      <c r="P22" s="23"/>
    </row>
    <row r="23" spans="1:19" ht="14" customHeight="1" x14ac:dyDescent="0.25">
      <c r="B23" s="15" t="s">
        <v>86</v>
      </c>
      <c r="C23" s="25">
        <f>C20/C22</f>
        <v>0.43943233654333502</v>
      </c>
      <c r="D23" s="25">
        <f>D20/D22</f>
        <v>0.47628458498023718</v>
      </c>
      <c r="E23" s="25">
        <f>E20/E22</f>
        <v>0.48107653490328006</v>
      </c>
      <c r="F23" s="25">
        <f>F20/F22</f>
        <v>0.58056872037914697</v>
      </c>
      <c r="G23" s="25">
        <f>G20/G22</f>
        <v>0.61121157323688968</v>
      </c>
      <c r="H23" s="25"/>
      <c r="I23" s="25"/>
      <c r="J23" s="25"/>
      <c r="K23" s="25"/>
      <c r="L23" s="25"/>
      <c r="M23" s="25"/>
      <c r="N23" s="25"/>
      <c r="O23" s="25"/>
      <c r="P23" s="25"/>
    </row>
    <row r="24" spans="1:19" ht="14" customHeight="1" x14ac:dyDescent="0.25"/>
    <row r="25" spans="1:19" ht="14" customHeight="1" x14ac:dyDescent="0.25">
      <c r="B25" s="39" t="s">
        <v>93</v>
      </c>
      <c r="C25" s="40" t="s">
        <v>94</v>
      </c>
      <c r="D25" s="40" t="s">
        <v>95</v>
      </c>
      <c r="E25" s="40" t="s">
        <v>96</v>
      </c>
      <c r="F25" s="40" t="s">
        <v>97</v>
      </c>
      <c r="G25" s="40" t="s">
        <v>98</v>
      </c>
      <c r="H25" s="40" t="s">
        <v>99</v>
      </c>
      <c r="I25" s="40" t="s">
        <v>100</v>
      </c>
      <c r="J25" s="40" t="s">
        <v>101</v>
      </c>
      <c r="K25" s="40" t="s">
        <v>102</v>
      </c>
      <c r="L25" s="40" t="s">
        <v>103</v>
      </c>
      <c r="M25" s="40" t="s">
        <v>104</v>
      </c>
      <c r="N25" s="40" t="s">
        <v>105</v>
      </c>
      <c r="O25" s="39" t="s">
        <v>38</v>
      </c>
      <c r="P25" s="30"/>
      <c r="Q25" s="31"/>
    </row>
    <row r="26" spans="1:19" ht="14" customHeight="1" x14ac:dyDescent="0.25">
      <c r="B26" s="15" t="s">
        <v>69</v>
      </c>
      <c r="C26" s="15">
        <v>296446</v>
      </c>
      <c r="D26" s="15">
        <v>318223</v>
      </c>
      <c r="E26" s="15">
        <v>371419</v>
      </c>
      <c r="F26" s="15">
        <v>372615</v>
      </c>
      <c r="G26" s="15">
        <v>376930</v>
      </c>
      <c r="H26" s="15">
        <v>377628</v>
      </c>
      <c r="I26" s="15">
        <v>341030</v>
      </c>
      <c r="J26" s="15">
        <v>371501</v>
      </c>
      <c r="K26" s="15">
        <v>393060</v>
      </c>
      <c r="L26" s="15">
        <v>436856</v>
      </c>
      <c r="M26" s="15">
        <v>474921</v>
      </c>
      <c r="N26" s="15">
        <v>414784</v>
      </c>
      <c r="O26" s="15">
        <f t="shared" ref="O26:O40" si="0">SUM(C26:N26)</f>
        <v>4545413</v>
      </c>
      <c r="P26" s="32"/>
      <c r="Q26" s="33"/>
      <c r="R26" s="34"/>
      <c r="S26" s="34"/>
    </row>
    <row r="27" spans="1:19" ht="14" customHeight="1" x14ac:dyDescent="0.25">
      <c r="B27" s="15" t="s">
        <v>89</v>
      </c>
      <c r="C27" s="15">
        <v>121071</v>
      </c>
      <c r="D27" s="15">
        <v>98433</v>
      </c>
      <c r="E27" s="15">
        <v>119696</v>
      </c>
      <c r="F27" s="15">
        <v>125563</v>
      </c>
      <c r="G27" s="15">
        <v>138021</v>
      </c>
      <c r="H27" s="15">
        <v>122367</v>
      </c>
      <c r="I27" s="15">
        <v>130124</v>
      </c>
      <c r="J27" s="15">
        <v>147347</v>
      </c>
      <c r="K27" s="15">
        <v>165201</v>
      </c>
      <c r="L27" s="15">
        <v>177882</v>
      </c>
      <c r="M27" s="15">
        <v>187798</v>
      </c>
      <c r="N27" s="15">
        <v>154264</v>
      </c>
      <c r="O27" s="15">
        <f t="shared" si="0"/>
        <v>1687767</v>
      </c>
      <c r="P27" s="30"/>
      <c r="Q27" s="31"/>
      <c r="R27" s="32"/>
      <c r="S27" s="33"/>
    </row>
    <row r="28" spans="1:19" ht="14" customHeight="1" x14ac:dyDescent="0.25">
      <c r="B28" s="15" t="s">
        <v>87</v>
      </c>
      <c r="C28" s="15">
        <v>67803</v>
      </c>
      <c r="D28" s="15">
        <v>35207</v>
      </c>
      <c r="E28" s="15">
        <v>66788</v>
      </c>
      <c r="F28" s="15">
        <v>54756</v>
      </c>
      <c r="G28" s="15">
        <v>80909</v>
      </c>
      <c r="H28" s="15">
        <v>87458</v>
      </c>
      <c r="I28" s="15">
        <v>75925</v>
      </c>
      <c r="J28" s="15">
        <v>78953</v>
      </c>
      <c r="K28" s="15">
        <v>90072</v>
      </c>
      <c r="L28" s="15">
        <v>98633</v>
      </c>
      <c r="M28" s="15">
        <v>106970</v>
      </c>
      <c r="N28" s="15">
        <v>93986</v>
      </c>
      <c r="O28" s="15">
        <f t="shared" si="0"/>
        <v>937460</v>
      </c>
      <c r="P28" s="32"/>
      <c r="Q28" s="33"/>
      <c r="R28" s="32"/>
      <c r="S28" s="33"/>
    </row>
    <row r="29" spans="1:19" ht="14" customHeight="1" x14ac:dyDescent="0.25">
      <c r="B29" s="15" t="s">
        <v>88</v>
      </c>
      <c r="C29" s="15">
        <v>35809</v>
      </c>
      <c r="D29" s="15">
        <v>55319</v>
      </c>
      <c r="E29" s="15">
        <v>71362</v>
      </c>
      <c r="F29" s="15">
        <v>75610</v>
      </c>
      <c r="G29" s="15">
        <v>62686</v>
      </c>
      <c r="H29" s="15">
        <v>61810</v>
      </c>
      <c r="I29" s="15">
        <v>59580</v>
      </c>
      <c r="J29" s="15">
        <v>60138</v>
      </c>
      <c r="K29" s="15">
        <v>88781</v>
      </c>
      <c r="L29" s="15">
        <v>113883</v>
      </c>
      <c r="M29" s="15">
        <v>107812</v>
      </c>
      <c r="N29" s="15">
        <v>62957</v>
      </c>
      <c r="O29" s="15">
        <f t="shared" si="0"/>
        <v>855747</v>
      </c>
      <c r="P29" s="32"/>
      <c r="Q29" s="33"/>
      <c r="R29" s="32"/>
      <c r="S29" s="33"/>
    </row>
    <row r="30" spans="1:19" ht="14" customHeight="1" x14ac:dyDescent="0.25">
      <c r="B30" s="15" t="s">
        <v>78</v>
      </c>
      <c r="C30" s="15">
        <v>63238</v>
      </c>
      <c r="D30" s="15">
        <v>30688</v>
      </c>
      <c r="E30" s="15">
        <v>78828</v>
      </c>
      <c r="F30" s="15">
        <v>58459</v>
      </c>
      <c r="G30" s="15">
        <v>61662</v>
      </c>
      <c r="H30" s="15">
        <v>71599</v>
      </c>
      <c r="I30" s="15">
        <v>67886</v>
      </c>
      <c r="J30" s="15">
        <v>83192</v>
      </c>
      <c r="K30" s="15">
        <v>90812</v>
      </c>
      <c r="L30" s="15">
        <v>61497</v>
      </c>
      <c r="M30" s="15">
        <v>86700</v>
      </c>
      <c r="N30" s="15">
        <v>97171</v>
      </c>
      <c r="O30" s="15">
        <f t="shared" si="0"/>
        <v>851732</v>
      </c>
      <c r="P30" s="32"/>
      <c r="Q30" s="33"/>
      <c r="R30" s="32"/>
      <c r="S30" s="33"/>
    </row>
    <row r="31" spans="1:19" ht="14" customHeight="1" x14ac:dyDescent="0.25">
      <c r="B31" s="15" t="s">
        <v>79</v>
      </c>
      <c r="C31" s="15">
        <v>55028</v>
      </c>
      <c r="D31" s="15">
        <v>40053</v>
      </c>
      <c r="E31" s="15">
        <v>55604</v>
      </c>
      <c r="F31" s="15">
        <v>55023</v>
      </c>
      <c r="G31" s="15">
        <v>56974</v>
      </c>
      <c r="H31" s="15">
        <v>66368</v>
      </c>
      <c r="I31" s="15">
        <v>62107</v>
      </c>
      <c r="J31" s="15">
        <v>58233</v>
      </c>
      <c r="K31" s="15">
        <v>85379</v>
      </c>
      <c r="L31" s="15">
        <v>104945</v>
      </c>
      <c r="M31" s="15">
        <v>111577</v>
      </c>
      <c r="N31" s="15">
        <v>81760</v>
      </c>
      <c r="O31" s="15">
        <f t="shared" si="0"/>
        <v>833051</v>
      </c>
      <c r="P31" s="32"/>
      <c r="Q31" s="33"/>
      <c r="R31" s="32"/>
      <c r="S31" s="33"/>
    </row>
    <row r="32" spans="1:19" ht="14" customHeight="1" x14ac:dyDescent="0.25">
      <c r="B32" s="15" t="s">
        <v>75</v>
      </c>
      <c r="C32" s="15">
        <v>25170</v>
      </c>
      <c r="D32" s="15">
        <v>25287</v>
      </c>
      <c r="E32" s="15">
        <v>37095</v>
      </c>
      <c r="F32" s="15">
        <v>41039</v>
      </c>
      <c r="G32" s="15">
        <v>45067</v>
      </c>
      <c r="H32" s="15">
        <v>48006</v>
      </c>
      <c r="I32" s="15">
        <v>50129</v>
      </c>
      <c r="J32" s="15">
        <v>57066</v>
      </c>
      <c r="K32" s="15">
        <v>66657</v>
      </c>
      <c r="L32" s="15">
        <v>70289</v>
      </c>
      <c r="M32" s="15">
        <v>70327</v>
      </c>
      <c r="N32" s="15">
        <v>60423</v>
      </c>
      <c r="O32" s="15">
        <f t="shared" si="0"/>
        <v>596555</v>
      </c>
      <c r="P32" s="32"/>
      <c r="Q32" s="33"/>
      <c r="R32" s="32"/>
      <c r="S32" s="33"/>
    </row>
    <row r="33" spans="2:19" ht="14" customHeight="1" x14ac:dyDescent="0.25">
      <c r="B33" s="35" t="s">
        <v>76</v>
      </c>
      <c r="C33" s="15">
        <v>16408</v>
      </c>
      <c r="D33" s="15">
        <v>16504</v>
      </c>
      <c r="E33" s="15">
        <v>15958</v>
      </c>
      <c r="F33" s="15">
        <v>27048</v>
      </c>
      <c r="G33" s="15">
        <v>36372</v>
      </c>
      <c r="H33" s="15">
        <v>43354</v>
      </c>
      <c r="I33" s="15">
        <v>41676</v>
      </c>
      <c r="J33" s="15">
        <v>41029</v>
      </c>
      <c r="K33" s="15">
        <v>41271</v>
      </c>
      <c r="L33" s="15">
        <v>48700</v>
      </c>
      <c r="M33" s="15">
        <v>51698</v>
      </c>
      <c r="N33" s="15">
        <v>53654</v>
      </c>
      <c r="O33" s="15">
        <f t="shared" si="0"/>
        <v>433672</v>
      </c>
      <c r="P33" s="32"/>
      <c r="Q33" s="33"/>
      <c r="R33" s="32"/>
      <c r="S33" s="33"/>
    </row>
    <row r="34" spans="2:19" ht="14" customHeight="1" x14ac:dyDescent="0.25">
      <c r="B34" s="15" t="s">
        <v>71</v>
      </c>
      <c r="C34" s="15">
        <v>30350</v>
      </c>
      <c r="D34" s="15">
        <v>30453</v>
      </c>
      <c r="E34" s="15">
        <v>33205</v>
      </c>
      <c r="F34" s="15">
        <v>35045</v>
      </c>
      <c r="G34" s="15">
        <v>33525</v>
      </c>
      <c r="H34" s="15">
        <v>34611</v>
      </c>
      <c r="I34" s="15">
        <v>36717</v>
      </c>
      <c r="J34" s="15">
        <v>37709</v>
      </c>
      <c r="K34" s="15">
        <v>41581</v>
      </c>
      <c r="L34" s="15">
        <v>42013</v>
      </c>
      <c r="M34" s="15">
        <v>36728</v>
      </c>
      <c r="N34" s="15">
        <v>37508</v>
      </c>
      <c r="O34" s="15">
        <f t="shared" si="0"/>
        <v>429445</v>
      </c>
      <c r="P34" s="30"/>
      <c r="Q34" s="31"/>
      <c r="R34" s="32"/>
      <c r="S34" s="33"/>
    </row>
    <row r="35" spans="2:19" ht="14" customHeight="1" x14ac:dyDescent="0.25">
      <c r="B35" s="15" t="s">
        <v>90</v>
      </c>
      <c r="C35" s="15">
        <v>22897</v>
      </c>
      <c r="D35" s="15">
        <v>23728</v>
      </c>
      <c r="E35" s="15">
        <v>29244</v>
      </c>
      <c r="F35" s="15">
        <v>28585</v>
      </c>
      <c r="G35" s="15">
        <v>28013</v>
      </c>
      <c r="H35" s="15">
        <v>25459</v>
      </c>
      <c r="I35" s="15">
        <v>30452</v>
      </c>
      <c r="J35" s="15">
        <v>36396</v>
      </c>
      <c r="K35" s="15">
        <v>41948</v>
      </c>
      <c r="L35" s="15">
        <v>48654</v>
      </c>
      <c r="M35" s="15">
        <v>46249</v>
      </c>
      <c r="N35" s="15">
        <v>50212</v>
      </c>
      <c r="O35" s="15">
        <f t="shared" si="0"/>
        <v>411837</v>
      </c>
      <c r="P35" s="32"/>
      <c r="Q35" s="33"/>
      <c r="R35" s="32"/>
      <c r="S35" s="33"/>
    </row>
    <row r="36" spans="2:19" ht="14" customHeight="1" x14ac:dyDescent="0.25">
      <c r="B36" s="15" t="s">
        <v>73</v>
      </c>
      <c r="C36" s="15">
        <v>29927</v>
      </c>
      <c r="D36" s="15">
        <v>26263</v>
      </c>
      <c r="E36" s="15">
        <v>36674</v>
      </c>
      <c r="F36" s="15">
        <v>33939</v>
      </c>
      <c r="G36" s="15">
        <v>40856</v>
      </c>
      <c r="H36" s="15">
        <v>36279</v>
      </c>
      <c r="I36" s="15">
        <v>30731</v>
      </c>
      <c r="J36" s="15">
        <v>28529</v>
      </c>
      <c r="K36" s="15">
        <v>33951</v>
      </c>
      <c r="L36" s="15">
        <v>31767</v>
      </c>
      <c r="M36" s="15">
        <v>33181</v>
      </c>
      <c r="N36" s="15">
        <v>44246</v>
      </c>
      <c r="O36" s="15">
        <f t="shared" si="0"/>
        <v>406343</v>
      </c>
      <c r="P36" s="32"/>
      <c r="Q36" s="33"/>
      <c r="R36" s="32"/>
      <c r="S36" s="33"/>
    </row>
    <row r="37" spans="2:19" ht="14" customHeight="1" x14ac:dyDescent="0.25">
      <c r="B37" s="15" t="s">
        <v>80</v>
      </c>
      <c r="C37" s="15">
        <v>22253</v>
      </c>
      <c r="D37" s="15">
        <v>15105</v>
      </c>
      <c r="E37" s="15">
        <v>25168</v>
      </c>
      <c r="F37" s="15">
        <v>28809</v>
      </c>
      <c r="G37" s="15">
        <v>32633</v>
      </c>
      <c r="H37" s="15">
        <v>36375</v>
      </c>
      <c r="I37" s="15">
        <v>34593</v>
      </c>
      <c r="J37" s="15">
        <v>37457</v>
      </c>
      <c r="K37" s="15">
        <v>45878</v>
      </c>
      <c r="L37" s="15">
        <v>46066</v>
      </c>
      <c r="M37" s="15">
        <v>40028</v>
      </c>
      <c r="N37" s="15">
        <v>38858</v>
      </c>
      <c r="O37" s="15">
        <f t="shared" si="0"/>
        <v>403223</v>
      </c>
      <c r="P37" s="32"/>
      <c r="Q37" s="33"/>
      <c r="R37" s="32"/>
      <c r="S37" s="33"/>
    </row>
    <row r="38" spans="2:19" ht="14" customHeight="1" x14ac:dyDescent="0.25">
      <c r="B38" s="15" t="s">
        <v>72</v>
      </c>
      <c r="C38" s="15">
        <v>13863</v>
      </c>
      <c r="D38" s="15">
        <v>13192</v>
      </c>
      <c r="E38" s="15">
        <v>14950</v>
      </c>
      <c r="F38" s="15">
        <v>23900</v>
      </c>
      <c r="G38" s="15">
        <v>23231</v>
      </c>
      <c r="H38" s="15">
        <v>24925</v>
      </c>
      <c r="I38" s="15">
        <v>21017</v>
      </c>
      <c r="J38" s="15">
        <v>31088</v>
      </c>
      <c r="K38" s="15">
        <v>34572</v>
      </c>
      <c r="L38" s="15">
        <v>39966</v>
      </c>
      <c r="M38" s="15">
        <v>36275</v>
      </c>
      <c r="N38" s="15">
        <v>48135</v>
      </c>
      <c r="O38" s="15">
        <f t="shared" si="0"/>
        <v>325114</v>
      </c>
      <c r="P38" s="32"/>
      <c r="Q38" s="33"/>
      <c r="R38" s="32"/>
      <c r="S38" s="33"/>
    </row>
    <row r="39" spans="2:19" ht="14" customHeight="1" x14ac:dyDescent="0.25">
      <c r="B39" s="15" t="s">
        <v>20</v>
      </c>
      <c r="C39" s="15">
        <v>14393</v>
      </c>
      <c r="D39" s="15">
        <v>14482</v>
      </c>
      <c r="E39" s="15">
        <v>24656</v>
      </c>
      <c r="F39" s="15">
        <v>23408</v>
      </c>
      <c r="G39" s="15">
        <v>18280</v>
      </c>
      <c r="H39" s="15">
        <v>19886</v>
      </c>
      <c r="I39" s="15">
        <v>21124</v>
      </c>
      <c r="J39" s="15">
        <v>24318</v>
      </c>
      <c r="K39" s="15">
        <v>27297</v>
      </c>
      <c r="L39" s="15">
        <v>28199</v>
      </c>
      <c r="M39" s="15">
        <v>38326</v>
      </c>
      <c r="N39" s="15">
        <v>42140</v>
      </c>
      <c r="O39" s="15">
        <f t="shared" si="0"/>
        <v>296509</v>
      </c>
      <c r="Q39" s="204"/>
      <c r="R39" s="32"/>
      <c r="S39" s="33"/>
    </row>
    <row r="40" spans="2:19" ht="14" customHeight="1" x14ac:dyDescent="0.25">
      <c r="B40" s="15" t="s">
        <v>22</v>
      </c>
      <c r="C40" s="15">
        <f t="shared" ref="C40:N40" si="1">SUM(C26:C39)</f>
        <v>814656</v>
      </c>
      <c r="D40" s="15">
        <f t="shared" si="1"/>
        <v>742937</v>
      </c>
      <c r="E40" s="15">
        <f t="shared" si="1"/>
        <v>980647</v>
      </c>
      <c r="F40" s="15">
        <f t="shared" si="1"/>
        <v>983799</v>
      </c>
      <c r="G40" s="15">
        <f t="shared" si="1"/>
        <v>1035159</v>
      </c>
      <c r="H40" s="15">
        <f t="shared" si="1"/>
        <v>1056125</v>
      </c>
      <c r="I40" s="15">
        <f t="shared" si="1"/>
        <v>1003091</v>
      </c>
      <c r="J40" s="15">
        <f t="shared" si="1"/>
        <v>1092956</v>
      </c>
      <c r="K40" s="15">
        <f t="shared" si="1"/>
        <v>1246460</v>
      </c>
      <c r="L40" s="15">
        <f t="shared" si="1"/>
        <v>1349350</v>
      </c>
      <c r="M40" s="15">
        <f t="shared" si="1"/>
        <v>1428590</v>
      </c>
      <c r="N40" s="15">
        <f t="shared" si="1"/>
        <v>1280098</v>
      </c>
      <c r="O40" s="15">
        <f t="shared" si="0"/>
        <v>13013868</v>
      </c>
      <c r="R40" s="32"/>
      <c r="S40" s="32"/>
    </row>
    <row r="41" spans="2:19" ht="14" customHeight="1" x14ac:dyDescent="0.25">
      <c r="B41" s="23" t="s">
        <v>83</v>
      </c>
      <c r="C41" s="23">
        <v>889000</v>
      </c>
      <c r="D41" s="23">
        <v>830000</v>
      </c>
      <c r="E41" s="23">
        <v>1129000</v>
      </c>
      <c r="F41" s="29">
        <v>1133000</v>
      </c>
      <c r="G41" s="29">
        <v>1222000</v>
      </c>
      <c r="H41" s="29">
        <v>1241000</v>
      </c>
      <c r="I41" s="29">
        <v>1187000</v>
      </c>
      <c r="J41" s="29">
        <v>1282000</v>
      </c>
      <c r="K41" s="29">
        <v>1500000</v>
      </c>
      <c r="L41" s="29">
        <v>1612000</v>
      </c>
      <c r="M41" s="29">
        <v>1706000</v>
      </c>
      <c r="N41" s="29">
        <v>1563000</v>
      </c>
      <c r="O41" s="29">
        <f>SUM(C41:N41)</f>
        <v>15294000</v>
      </c>
    </row>
    <row r="42" spans="2:19" ht="14" customHeight="1" x14ac:dyDescent="0.25">
      <c r="B42" s="15" t="s">
        <v>91</v>
      </c>
      <c r="C42" s="25">
        <f t="shared" ref="C42:K42" si="2">C40/C41</f>
        <v>0.9163734533183352</v>
      </c>
      <c r="D42" s="25">
        <f t="shared" si="2"/>
        <v>0.89510481927710839</v>
      </c>
      <c r="E42" s="25">
        <f t="shared" si="2"/>
        <v>0.86859787422497781</v>
      </c>
      <c r="F42" s="25">
        <f t="shared" si="2"/>
        <v>0.86831332744924983</v>
      </c>
      <c r="G42" s="25">
        <f t="shared" si="2"/>
        <v>0.84710229132569559</v>
      </c>
      <c r="H42" s="25">
        <f t="shared" si="2"/>
        <v>0.85102739726027399</v>
      </c>
      <c r="I42" s="25">
        <f t="shared" si="2"/>
        <v>0.84506402695871941</v>
      </c>
      <c r="J42" s="25">
        <f t="shared" si="2"/>
        <v>0.85253978159126365</v>
      </c>
      <c r="K42" s="25">
        <f t="shared" si="2"/>
        <v>0.83097333333333334</v>
      </c>
      <c r="L42" s="25">
        <f>L40/L41</f>
        <v>0.83706575682382134</v>
      </c>
      <c r="M42" s="25">
        <f>M40/M41</f>
        <v>0.83739155920281361</v>
      </c>
      <c r="N42" s="25">
        <f>N40/N41</f>
        <v>0.81900063979526549</v>
      </c>
      <c r="O42" s="25">
        <f>O40/O41</f>
        <v>0.8509132993330718</v>
      </c>
      <c r="P42" s="25"/>
    </row>
    <row r="43" spans="2:19" ht="14" customHeight="1" x14ac:dyDescent="0.25">
      <c r="B43" s="15" t="s">
        <v>85</v>
      </c>
      <c r="C43" s="23">
        <v>2103000</v>
      </c>
      <c r="D43" s="23">
        <v>1767000</v>
      </c>
      <c r="E43" s="23">
        <v>2413000</v>
      </c>
      <c r="F43" s="29">
        <v>2190000</v>
      </c>
      <c r="G43" s="23">
        <v>2316000</v>
      </c>
      <c r="H43" s="23">
        <v>2490000</v>
      </c>
      <c r="I43" s="23">
        <v>2243000</v>
      </c>
      <c r="J43" s="23">
        <v>2458000</v>
      </c>
      <c r="K43" s="23">
        <v>2803000</v>
      </c>
      <c r="L43" s="23">
        <v>2952000</v>
      </c>
      <c r="M43" s="23">
        <v>2998000</v>
      </c>
      <c r="N43" s="23">
        <v>2789000</v>
      </c>
      <c r="O43" s="29">
        <f>SUM(C43:N43)</f>
        <v>29522000</v>
      </c>
      <c r="P43" s="23"/>
    </row>
    <row r="44" spans="2:19" ht="14" customHeight="1" x14ac:dyDescent="0.25">
      <c r="B44" s="15" t="s">
        <v>86</v>
      </c>
      <c r="C44" s="25">
        <f t="shared" ref="C44:K44" si="3">C41/C43</f>
        <v>0.42272943414170233</v>
      </c>
      <c r="D44" s="25">
        <f t="shared" si="3"/>
        <v>0.46972269383135257</v>
      </c>
      <c r="E44" s="25">
        <f t="shared" si="3"/>
        <v>0.46788230418566101</v>
      </c>
      <c r="F44" s="25">
        <f t="shared" si="3"/>
        <v>0.51735159817351595</v>
      </c>
      <c r="G44" s="25">
        <f t="shared" si="3"/>
        <v>0.52763385146804831</v>
      </c>
      <c r="H44" s="25">
        <f t="shared" si="3"/>
        <v>0.49839357429718878</v>
      </c>
      <c r="I44" s="25">
        <f t="shared" si="3"/>
        <v>0.52920196165849309</v>
      </c>
      <c r="J44" s="25">
        <f t="shared" si="3"/>
        <v>0.52156224572823429</v>
      </c>
      <c r="K44" s="25">
        <f t="shared" si="3"/>
        <v>0.53514092044238315</v>
      </c>
      <c r="L44" s="25">
        <f>L41/L43</f>
        <v>0.54607046070460707</v>
      </c>
      <c r="M44" s="25">
        <f>M41/M43</f>
        <v>0.56904603068712478</v>
      </c>
      <c r="N44" s="25">
        <f>N41/N43</f>
        <v>0.56041591968447468</v>
      </c>
      <c r="O44" s="25">
        <f>O41/O43</f>
        <v>0.51805433236230602</v>
      </c>
      <c r="P44" s="25"/>
    </row>
    <row r="45" spans="2:19" ht="14" customHeight="1" x14ac:dyDescent="0.25"/>
    <row r="46" spans="2:19" ht="14" customHeight="1" x14ac:dyDescent="0.25">
      <c r="B46" s="39" t="s">
        <v>106</v>
      </c>
      <c r="C46" s="40" t="s">
        <v>94</v>
      </c>
      <c r="D46" s="40" t="s">
        <v>95</v>
      </c>
      <c r="E46" s="40" t="s">
        <v>96</v>
      </c>
      <c r="F46" s="40" t="s">
        <v>97</v>
      </c>
      <c r="G46" s="40" t="s">
        <v>98</v>
      </c>
      <c r="H46" s="40" t="s">
        <v>99</v>
      </c>
      <c r="I46" s="40" t="s">
        <v>100</v>
      </c>
      <c r="J46" s="40" t="s">
        <v>101</v>
      </c>
      <c r="K46" s="40" t="s">
        <v>102</v>
      </c>
      <c r="L46" s="40" t="s">
        <v>103</v>
      </c>
      <c r="M46" s="40" t="s">
        <v>104</v>
      </c>
      <c r="N46" s="40" t="s">
        <v>105</v>
      </c>
      <c r="O46" s="39" t="s">
        <v>38</v>
      </c>
    </row>
    <row r="47" spans="2:19" ht="14" customHeight="1" x14ac:dyDescent="0.25">
      <c r="B47" s="15" t="s">
        <v>69</v>
      </c>
      <c r="C47" s="15">
        <v>201019</v>
      </c>
      <c r="D47" s="15">
        <v>121748</v>
      </c>
      <c r="E47" s="15">
        <v>301631</v>
      </c>
      <c r="F47" s="15">
        <v>312048</v>
      </c>
      <c r="G47" s="15">
        <v>330488</v>
      </c>
      <c r="H47" s="15">
        <v>340211</v>
      </c>
      <c r="I47" s="15">
        <v>340799</v>
      </c>
      <c r="J47" s="15">
        <v>370854</v>
      </c>
      <c r="K47" s="15">
        <v>417603</v>
      </c>
      <c r="L47" s="15">
        <v>500526</v>
      </c>
      <c r="M47" s="15">
        <v>504003</v>
      </c>
      <c r="N47" s="15">
        <v>509440</v>
      </c>
      <c r="O47" s="15">
        <f t="shared" ref="O47:O63" si="4">SUM(C47:N47)</f>
        <v>4250370</v>
      </c>
      <c r="Q47" s="204"/>
    </row>
    <row r="48" spans="2:19" ht="14" customHeight="1" x14ac:dyDescent="0.25">
      <c r="B48" s="15" t="s">
        <v>20</v>
      </c>
      <c r="C48" s="15">
        <v>24947</v>
      </c>
      <c r="D48" s="15">
        <v>16676</v>
      </c>
      <c r="E48" s="15">
        <v>32530</v>
      </c>
      <c r="F48" s="15">
        <v>28113</v>
      </c>
      <c r="G48" s="15">
        <v>40073</v>
      </c>
      <c r="H48" s="15">
        <v>25692</v>
      </c>
      <c r="I48" s="15">
        <v>28287</v>
      </c>
      <c r="J48" s="27">
        <v>35355</v>
      </c>
      <c r="K48" s="15">
        <v>40360</v>
      </c>
      <c r="L48" s="15">
        <v>40052</v>
      </c>
      <c r="M48" s="15">
        <v>42301</v>
      </c>
      <c r="N48" s="15">
        <v>46851</v>
      </c>
      <c r="O48" s="15">
        <f t="shared" si="4"/>
        <v>401237</v>
      </c>
      <c r="Q48" s="204"/>
    </row>
    <row r="49" spans="2:17" ht="14" customHeight="1" x14ac:dyDescent="0.25">
      <c r="B49" s="15" t="s">
        <v>89</v>
      </c>
      <c r="C49" s="15">
        <v>65826</v>
      </c>
      <c r="D49" s="15">
        <v>33508</v>
      </c>
      <c r="E49" s="15">
        <v>44791</v>
      </c>
      <c r="F49" s="15">
        <v>51428</v>
      </c>
      <c r="G49" s="15">
        <v>58673</v>
      </c>
      <c r="H49" s="15">
        <v>65959</v>
      </c>
      <c r="I49" s="15">
        <v>59051</v>
      </c>
      <c r="J49" s="27">
        <v>75484</v>
      </c>
      <c r="K49" s="15">
        <v>91134</v>
      </c>
      <c r="L49" s="15">
        <v>108722</v>
      </c>
      <c r="M49" s="15">
        <v>122453</v>
      </c>
      <c r="N49" s="15">
        <v>111206</v>
      </c>
      <c r="O49" s="15">
        <f t="shared" si="4"/>
        <v>888235</v>
      </c>
      <c r="Q49" s="204"/>
    </row>
    <row r="50" spans="2:17" ht="14" customHeight="1" x14ac:dyDescent="0.25">
      <c r="B50" s="15" t="s">
        <v>71</v>
      </c>
      <c r="C50" s="15">
        <v>8250</v>
      </c>
      <c r="D50" s="15">
        <v>4545</v>
      </c>
      <c r="E50" s="15">
        <v>9026</v>
      </c>
      <c r="F50" s="15">
        <v>9393</v>
      </c>
      <c r="G50" s="15">
        <v>10146</v>
      </c>
      <c r="H50" s="15">
        <v>12508</v>
      </c>
      <c r="I50" s="15">
        <v>13003</v>
      </c>
      <c r="J50" s="28">
        <v>14036</v>
      </c>
      <c r="K50" s="15">
        <v>21352</v>
      </c>
      <c r="L50" s="15">
        <v>23917</v>
      </c>
      <c r="M50" s="15">
        <v>30895</v>
      </c>
      <c r="N50" s="15">
        <v>36695</v>
      </c>
      <c r="O50" s="15">
        <f t="shared" si="4"/>
        <v>193766</v>
      </c>
      <c r="Q50" s="204"/>
    </row>
    <row r="51" spans="2:17" ht="14" customHeight="1" x14ac:dyDescent="0.25">
      <c r="B51" s="15" t="s">
        <v>72</v>
      </c>
      <c r="C51" s="15">
        <v>10055</v>
      </c>
      <c r="D51" s="15">
        <v>8132</v>
      </c>
      <c r="E51" s="15">
        <v>11866</v>
      </c>
      <c r="F51" s="15">
        <v>15620</v>
      </c>
      <c r="G51" s="15">
        <v>20544</v>
      </c>
      <c r="H51" s="15">
        <v>21209</v>
      </c>
      <c r="I51" s="15">
        <v>20498</v>
      </c>
      <c r="J51" s="28">
        <v>20176</v>
      </c>
      <c r="K51" s="15">
        <v>21181</v>
      </c>
      <c r="L51" s="15">
        <v>20976</v>
      </c>
      <c r="M51" s="15">
        <v>20575</v>
      </c>
      <c r="N51" s="15">
        <v>31138</v>
      </c>
      <c r="O51" s="15">
        <f t="shared" si="4"/>
        <v>221970</v>
      </c>
      <c r="Q51" s="204"/>
    </row>
    <row r="52" spans="2:17" ht="14" customHeight="1" x14ac:dyDescent="0.25">
      <c r="B52" s="15" t="s">
        <v>73</v>
      </c>
      <c r="C52" s="15">
        <v>31165</v>
      </c>
      <c r="D52" s="15">
        <v>20251</v>
      </c>
      <c r="E52" s="15">
        <v>28984</v>
      </c>
      <c r="F52" s="15">
        <v>25787</v>
      </c>
      <c r="G52" s="15">
        <v>35020</v>
      </c>
      <c r="H52" s="15">
        <v>47774</v>
      </c>
      <c r="I52" s="15">
        <v>51000</v>
      </c>
      <c r="J52" s="28">
        <v>48122</v>
      </c>
      <c r="K52" s="15">
        <v>53709</v>
      </c>
      <c r="L52" s="15">
        <v>51443</v>
      </c>
      <c r="M52" s="15">
        <v>48740</v>
      </c>
      <c r="N52" s="15">
        <v>58513</v>
      </c>
      <c r="O52" s="15">
        <f t="shared" si="4"/>
        <v>500508</v>
      </c>
      <c r="Q52" s="204"/>
    </row>
    <row r="53" spans="2:17" ht="14" customHeight="1" x14ac:dyDescent="0.25">
      <c r="B53" s="15" t="s">
        <v>74</v>
      </c>
      <c r="C53" s="15">
        <v>10032</v>
      </c>
      <c r="D53" s="15">
        <v>6085</v>
      </c>
      <c r="E53" s="15">
        <v>8317</v>
      </c>
      <c r="F53" s="15">
        <v>9017</v>
      </c>
      <c r="G53" s="15">
        <v>10113</v>
      </c>
      <c r="H53" s="15">
        <v>10206</v>
      </c>
      <c r="I53" s="15">
        <v>11015</v>
      </c>
      <c r="J53" s="28">
        <v>11005</v>
      </c>
      <c r="K53" s="15">
        <v>10118</v>
      </c>
      <c r="L53" s="11">
        <v>8000</v>
      </c>
      <c r="M53" s="15">
        <v>1500</v>
      </c>
      <c r="N53" s="15">
        <v>219</v>
      </c>
      <c r="O53" s="15">
        <f t="shared" si="4"/>
        <v>95627</v>
      </c>
      <c r="Q53" s="204"/>
    </row>
    <row r="54" spans="2:17" ht="14" customHeight="1" x14ac:dyDescent="0.25">
      <c r="B54" s="15" t="s">
        <v>75</v>
      </c>
      <c r="C54" s="15">
        <v>12277</v>
      </c>
      <c r="D54" s="15">
        <v>6566</v>
      </c>
      <c r="E54" s="15">
        <v>14567</v>
      </c>
      <c r="F54" s="15">
        <v>15005</v>
      </c>
      <c r="G54" s="15">
        <v>18165</v>
      </c>
      <c r="H54" s="15">
        <v>20116</v>
      </c>
      <c r="I54" s="15">
        <v>22093</v>
      </c>
      <c r="J54" s="28">
        <v>30305</v>
      </c>
      <c r="K54" s="15">
        <v>33767</v>
      </c>
      <c r="L54" s="15">
        <v>38177</v>
      </c>
      <c r="M54" s="15">
        <v>40169</v>
      </c>
      <c r="N54" s="15">
        <v>42517</v>
      </c>
      <c r="O54" s="15">
        <f t="shared" si="4"/>
        <v>293724</v>
      </c>
      <c r="Q54" s="204"/>
    </row>
    <row r="55" spans="2:17" ht="14" customHeight="1" x14ac:dyDescent="0.25">
      <c r="B55" s="15" t="s">
        <v>76</v>
      </c>
      <c r="C55" s="15">
        <v>37105</v>
      </c>
      <c r="D55" s="15">
        <v>28062</v>
      </c>
      <c r="E55" s="15">
        <v>24597</v>
      </c>
      <c r="F55" s="15">
        <v>25496</v>
      </c>
      <c r="G55" s="15">
        <v>32377</v>
      </c>
      <c r="H55" s="15">
        <v>43850</v>
      </c>
      <c r="I55" s="15">
        <v>40968</v>
      </c>
      <c r="J55" s="27">
        <v>33572</v>
      </c>
      <c r="K55" s="15">
        <v>37200</v>
      </c>
      <c r="L55" s="15">
        <v>36011</v>
      </c>
      <c r="M55" s="15">
        <v>36842</v>
      </c>
      <c r="N55" s="15">
        <v>34060</v>
      </c>
      <c r="O55" s="15">
        <f t="shared" si="4"/>
        <v>410140</v>
      </c>
      <c r="Q55" s="204"/>
    </row>
    <row r="56" spans="2:17" ht="14" customHeight="1" x14ac:dyDescent="0.25">
      <c r="B56" s="15" t="s">
        <v>77</v>
      </c>
      <c r="C56" s="15">
        <v>18739</v>
      </c>
      <c r="D56" s="15">
        <v>6934</v>
      </c>
      <c r="E56" s="15">
        <v>23684</v>
      </c>
      <c r="F56" s="15">
        <v>8961</v>
      </c>
      <c r="G56" s="15">
        <v>10026</v>
      </c>
      <c r="H56" s="15">
        <v>10944</v>
      </c>
      <c r="I56" s="15">
        <v>11496</v>
      </c>
      <c r="J56" s="15">
        <v>8474</v>
      </c>
      <c r="K56" s="15">
        <v>12208</v>
      </c>
      <c r="L56" s="15">
        <v>14800</v>
      </c>
      <c r="M56" s="15">
        <v>13059</v>
      </c>
      <c r="N56" s="15">
        <v>11847</v>
      </c>
      <c r="O56" s="15">
        <f t="shared" si="4"/>
        <v>151172</v>
      </c>
      <c r="Q56" s="204"/>
    </row>
    <row r="57" spans="2:17" ht="14" customHeight="1" x14ac:dyDescent="0.25">
      <c r="B57" s="15" t="s">
        <v>78</v>
      </c>
      <c r="C57" s="15">
        <v>71447</v>
      </c>
      <c r="D57" s="15">
        <v>60365</v>
      </c>
      <c r="E57" s="15">
        <v>89064</v>
      </c>
      <c r="F57" s="15">
        <v>62167</v>
      </c>
      <c r="G57" s="15">
        <v>72573</v>
      </c>
      <c r="H57" s="15">
        <v>71007</v>
      </c>
      <c r="I57" s="15">
        <v>74117</v>
      </c>
      <c r="J57" s="15">
        <v>86697</v>
      </c>
      <c r="K57" s="15">
        <v>88321</v>
      </c>
      <c r="L57" s="15">
        <v>68280</v>
      </c>
      <c r="M57" s="15">
        <v>78856</v>
      </c>
      <c r="N57" s="15">
        <v>93766</v>
      </c>
      <c r="O57" s="15">
        <f t="shared" si="4"/>
        <v>916660</v>
      </c>
      <c r="Q57" s="204"/>
    </row>
    <row r="58" spans="2:17" ht="14" customHeight="1" x14ac:dyDescent="0.25">
      <c r="B58" s="15" t="s">
        <v>79</v>
      </c>
      <c r="C58" s="15">
        <v>19700</v>
      </c>
      <c r="D58" s="15">
        <v>7840</v>
      </c>
      <c r="E58" s="15">
        <v>24812</v>
      </c>
      <c r="F58" s="15">
        <v>29761</v>
      </c>
      <c r="G58" s="15">
        <v>38348</v>
      </c>
      <c r="H58" s="15">
        <v>39764</v>
      </c>
      <c r="I58" s="15">
        <v>40121</v>
      </c>
      <c r="J58" s="15">
        <v>43042</v>
      </c>
      <c r="K58" s="15">
        <v>54857</v>
      </c>
      <c r="L58" s="15">
        <v>66868</v>
      </c>
      <c r="M58" s="15">
        <v>72323</v>
      </c>
      <c r="N58" s="15">
        <v>97100</v>
      </c>
      <c r="O58" s="15">
        <f t="shared" si="4"/>
        <v>534536</v>
      </c>
      <c r="Q58" s="204"/>
    </row>
    <row r="59" spans="2:17" ht="14" customHeight="1" x14ac:dyDescent="0.25">
      <c r="B59" s="15" t="s">
        <v>80</v>
      </c>
      <c r="C59" s="15">
        <v>24988</v>
      </c>
      <c r="D59" s="15">
        <v>12253</v>
      </c>
      <c r="E59" s="15">
        <v>21813</v>
      </c>
      <c r="F59" s="15">
        <v>22376</v>
      </c>
      <c r="G59" s="15">
        <v>24549</v>
      </c>
      <c r="H59" s="15">
        <v>26034</v>
      </c>
      <c r="I59" s="15">
        <v>24059</v>
      </c>
      <c r="J59" s="15">
        <v>24769</v>
      </c>
      <c r="K59" s="15">
        <v>30068</v>
      </c>
      <c r="L59" s="15">
        <v>31972</v>
      </c>
      <c r="M59" s="15">
        <v>35885</v>
      </c>
      <c r="N59" s="15">
        <v>42082</v>
      </c>
      <c r="O59" s="15">
        <f t="shared" si="4"/>
        <v>320848</v>
      </c>
      <c r="Q59" s="204"/>
    </row>
    <row r="60" spans="2:17" ht="14" customHeight="1" x14ac:dyDescent="0.25">
      <c r="B60" s="15" t="s">
        <v>87</v>
      </c>
      <c r="C60" s="15">
        <v>46080</v>
      </c>
      <c r="D60" s="15">
        <v>23226</v>
      </c>
      <c r="E60" s="15">
        <v>52900</v>
      </c>
      <c r="F60" s="15">
        <v>51682</v>
      </c>
      <c r="G60" s="15">
        <v>55800</v>
      </c>
      <c r="H60" s="15">
        <v>53827</v>
      </c>
      <c r="I60" s="15">
        <v>42714</v>
      </c>
      <c r="J60" s="15">
        <v>49000</v>
      </c>
      <c r="K60" s="15">
        <v>47040</v>
      </c>
      <c r="L60" s="15">
        <v>85272</v>
      </c>
      <c r="M60" s="15">
        <v>98494</v>
      </c>
      <c r="N60" s="15">
        <v>88212</v>
      </c>
      <c r="O60" s="15">
        <f t="shared" si="4"/>
        <v>694247</v>
      </c>
      <c r="Q60" s="204"/>
    </row>
    <row r="61" spans="2:17" ht="14" customHeight="1" x14ac:dyDescent="0.25">
      <c r="B61" s="15" t="s">
        <v>88</v>
      </c>
      <c r="C61" s="15">
        <v>41066</v>
      </c>
      <c r="D61" s="15">
        <v>32777</v>
      </c>
      <c r="E61" s="15">
        <v>34398</v>
      </c>
      <c r="F61" s="15">
        <v>35124</v>
      </c>
      <c r="G61" s="15">
        <v>33872</v>
      </c>
      <c r="H61" s="15">
        <v>42244</v>
      </c>
      <c r="I61" s="15">
        <v>29791</v>
      </c>
      <c r="J61" s="15">
        <v>41514</v>
      </c>
      <c r="K61" s="15">
        <v>76052</v>
      </c>
      <c r="L61" s="15">
        <v>96172</v>
      </c>
      <c r="M61" s="15">
        <v>113998</v>
      </c>
      <c r="N61" s="15">
        <v>102570</v>
      </c>
      <c r="O61" s="15">
        <f t="shared" si="4"/>
        <v>679578</v>
      </c>
      <c r="Q61" s="204"/>
    </row>
    <row r="62" spans="2:17" ht="14" customHeight="1" x14ac:dyDescent="0.25">
      <c r="B62" s="15" t="s">
        <v>21</v>
      </c>
      <c r="C62" s="15">
        <f t="shared" ref="C62:N62" si="5">SUM(C47:C61)</f>
        <v>622696</v>
      </c>
      <c r="D62" s="15">
        <f t="shared" si="5"/>
        <v>388968</v>
      </c>
      <c r="E62" s="15">
        <f t="shared" si="5"/>
        <v>722980</v>
      </c>
      <c r="F62" s="15">
        <f t="shared" si="5"/>
        <v>701978</v>
      </c>
      <c r="G62" s="15">
        <f t="shared" si="5"/>
        <v>790767</v>
      </c>
      <c r="H62" s="15">
        <f t="shared" si="5"/>
        <v>831345</v>
      </c>
      <c r="I62" s="15">
        <f t="shared" si="5"/>
        <v>809012</v>
      </c>
      <c r="J62" s="15">
        <f t="shared" si="5"/>
        <v>892405</v>
      </c>
      <c r="K62" s="15">
        <f t="shared" si="5"/>
        <v>1034970</v>
      </c>
      <c r="L62" s="15">
        <f t="shared" si="5"/>
        <v>1191188</v>
      </c>
      <c r="M62" s="15">
        <f t="shared" si="5"/>
        <v>1260093</v>
      </c>
      <c r="N62" s="15">
        <f t="shared" si="5"/>
        <v>1306216</v>
      </c>
      <c r="O62" s="15">
        <f t="shared" si="4"/>
        <v>10552618</v>
      </c>
    </row>
    <row r="63" spans="2:17" ht="14" customHeight="1" x14ac:dyDescent="0.25">
      <c r="B63" s="23" t="s">
        <v>83</v>
      </c>
      <c r="C63" s="23">
        <v>682000</v>
      </c>
      <c r="D63" s="23">
        <v>447000</v>
      </c>
      <c r="E63" s="29">
        <v>810000</v>
      </c>
      <c r="F63" s="29">
        <v>785000</v>
      </c>
      <c r="G63" s="29">
        <v>897000</v>
      </c>
      <c r="H63" s="29">
        <v>933000</v>
      </c>
      <c r="I63" s="29">
        <v>945000</v>
      </c>
      <c r="J63" s="29">
        <v>1050000</v>
      </c>
      <c r="K63" s="29">
        <v>1231000</v>
      </c>
      <c r="L63" s="29">
        <v>1369000</v>
      </c>
      <c r="M63" s="29">
        <v>1438000</v>
      </c>
      <c r="N63" s="29">
        <v>1512000</v>
      </c>
      <c r="O63" s="29">
        <f t="shared" si="4"/>
        <v>12099000</v>
      </c>
    </row>
    <row r="64" spans="2:17" ht="14" customHeight="1" x14ac:dyDescent="0.25">
      <c r="B64" s="15" t="s">
        <v>84</v>
      </c>
      <c r="C64" s="25">
        <f t="shared" ref="C64:O64" si="6">C62/C63</f>
        <v>0.91304398826979472</v>
      </c>
      <c r="D64" s="25">
        <f t="shared" si="6"/>
        <v>0.87017449664429525</v>
      </c>
      <c r="E64" s="25">
        <f t="shared" si="6"/>
        <v>0.89256790123456786</v>
      </c>
      <c r="F64" s="25">
        <f t="shared" si="6"/>
        <v>0.89423949044585982</v>
      </c>
      <c r="G64" s="25">
        <f t="shared" si="6"/>
        <v>0.88156856187290966</v>
      </c>
      <c r="H64" s="25">
        <f t="shared" si="6"/>
        <v>0.89104501607717046</v>
      </c>
      <c r="I64" s="25">
        <f t="shared" si="6"/>
        <v>0.85609735449735447</v>
      </c>
      <c r="J64" s="25">
        <f t="shared" si="6"/>
        <v>0.84990952380952378</v>
      </c>
      <c r="K64" s="25">
        <f t="shared" si="6"/>
        <v>0.84075548334687245</v>
      </c>
      <c r="L64" s="25">
        <f t="shared" si="6"/>
        <v>0.87011541271000725</v>
      </c>
      <c r="M64" s="25">
        <f t="shared" si="6"/>
        <v>0.87628164116828933</v>
      </c>
      <c r="N64" s="25">
        <f t="shared" si="6"/>
        <v>0.86389947089947094</v>
      </c>
      <c r="O64" s="25">
        <f t="shared" si="6"/>
        <v>0.87218927184064798</v>
      </c>
      <c r="P64" s="25"/>
    </row>
    <row r="65" spans="2:17" ht="14" customHeight="1" x14ac:dyDescent="0.25">
      <c r="B65" s="15" t="s">
        <v>85</v>
      </c>
      <c r="C65" s="23">
        <v>2089000</v>
      </c>
      <c r="D65" s="23">
        <v>1303000</v>
      </c>
      <c r="E65" s="29">
        <v>2195000</v>
      </c>
      <c r="F65" s="29">
        <v>1955000</v>
      </c>
      <c r="G65" s="23">
        <v>2029000</v>
      </c>
      <c r="H65" s="23">
        <v>2169000</v>
      </c>
      <c r="I65" s="23">
        <v>1966000</v>
      </c>
      <c r="J65" s="23">
        <v>2156000</v>
      </c>
      <c r="K65" s="23">
        <v>2504000</v>
      </c>
      <c r="L65" s="23">
        <v>2732000</v>
      </c>
      <c r="M65" s="23">
        <v>2940000</v>
      </c>
      <c r="N65" s="23">
        <v>30730000</v>
      </c>
      <c r="O65" s="29">
        <f>SUM(C65:N65)</f>
        <v>54768000</v>
      </c>
      <c r="P65" s="23"/>
    </row>
    <row r="66" spans="2:17" ht="14" customHeight="1" x14ac:dyDescent="0.25">
      <c r="B66" s="15" t="s">
        <v>86</v>
      </c>
      <c r="C66" s="25">
        <f t="shared" ref="C66:O66" si="7">C63/C65</f>
        <v>0.32647199617041645</v>
      </c>
      <c r="D66" s="25">
        <f t="shared" si="7"/>
        <v>0.34305448963929391</v>
      </c>
      <c r="E66" s="25">
        <f t="shared" si="7"/>
        <v>0.36902050113895218</v>
      </c>
      <c r="F66" s="25">
        <f t="shared" si="7"/>
        <v>0.40153452685421998</v>
      </c>
      <c r="G66" s="25">
        <f t="shared" si="7"/>
        <v>0.44208969935929027</v>
      </c>
      <c r="H66" s="25">
        <f t="shared" si="7"/>
        <v>0.43015214384508993</v>
      </c>
      <c r="I66" s="25">
        <f t="shared" si="7"/>
        <v>0.48067141403865715</v>
      </c>
      <c r="J66" s="25">
        <f t="shared" si="7"/>
        <v>0.48701298701298701</v>
      </c>
      <c r="K66" s="25">
        <f t="shared" si="7"/>
        <v>0.49161341853035145</v>
      </c>
      <c r="L66" s="25">
        <f t="shared" si="7"/>
        <v>0.50109809663250371</v>
      </c>
      <c r="M66" s="25">
        <f t="shared" si="7"/>
        <v>0.4891156462585034</v>
      </c>
      <c r="N66" s="25">
        <f t="shared" si="7"/>
        <v>4.920273348519362E-2</v>
      </c>
      <c r="O66" s="25">
        <f t="shared" si="7"/>
        <v>0.2209136722173532</v>
      </c>
      <c r="P66" s="25"/>
    </row>
    <row r="67" spans="2:17" ht="14" customHeight="1" x14ac:dyDescent="0.25"/>
    <row r="68" spans="2:17" ht="14" customHeight="1" x14ac:dyDescent="0.25">
      <c r="B68" s="39" t="s">
        <v>107</v>
      </c>
      <c r="C68" s="40" t="s">
        <v>94</v>
      </c>
      <c r="D68" s="40" t="s">
        <v>95</v>
      </c>
      <c r="E68" s="40" t="s">
        <v>96</v>
      </c>
      <c r="F68" s="40" t="s">
        <v>97</v>
      </c>
      <c r="G68" s="40" t="s">
        <v>98</v>
      </c>
      <c r="H68" s="40" t="s">
        <v>99</v>
      </c>
      <c r="I68" s="40" t="s">
        <v>100</v>
      </c>
      <c r="J68" s="40" t="s">
        <v>101</v>
      </c>
      <c r="K68" s="40" t="s">
        <v>102</v>
      </c>
      <c r="L68" s="40" t="s">
        <v>103</v>
      </c>
      <c r="M68" s="40" t="s">
        <v>104</v>
      </c>
      <c r="N68" s="40" t="s">
        <v>105</v>
      </c>
      <c r="O68" s="39" t="s">
        <v>38</v>
      </c>
    </row>
    <row r="69" spans="2:17" ht="14" customHeight="1" x14ac:dyDescent="0.25">
      <c r="B69" s="15" t="s">
        <v>69</v>
      </c>
      <c r="C69" s="15">
        <v>150164</v>
      </c>
      <c r="D69" s="15">
        <v>191664</v>
      </c>
      <c r="E69" s="15">
        <v>206089</v>
      </c>
      <c r="F69" s="15">
        <v>209467</v>
      </c>
      <c r="G69" s="15">
        <v>239092</v>
      </c>
      <c r="H69" s="15">
        <v>251685</v>
      </c>
      <c r="I69" s="15">
        <v>261105</v>
      </c>
      <c r="J69" s="15">
        <v>274086</v>
      </c>
      <c r="K69" s="15">
        <v>286903</v>
      </c>
      <c r="L69" s="15">
        <v>301095</v>
      </c>
      <c r="M69" s="15">
        <v>301378</v>
      </c>
      <c r="N69" s="15">
        <v>340178</v>
      </c>
      <c r="O69" s="15">
        <f t="shared" ref="O69:O85" si="8">SUM(C69:N69)</f>
        <v>3012906</v>
      </c>
      <c r="Q69" s="204"/>
    </row>
    <row r="70" spans="2:17" ht="14" customHeight="1" x14ac:dyDescent="0.25">
      <c r="B70" s="15" t="s">
        <v>20</v>
      </c>
      <c r="C70" s="15">
        <v>8206</v>
      </c>
      <c r="D70" s="15">
        <v>30086</v>
      </c>
      <c r="E70" s="15">
        <v>40016</v>
      </c>
      <c r="F70" s="15">
        <v>41012</v>
      </c>
      <c r="G70" s="15">
        <v>45003</v>
      </c>
      <c r="H70" s="15">
        <v>45013</v>
      </c>
      <c r="I70" s="15">
        <v>45025</v>
      </c>
      <c r="J70" s="27">
        <v>45029</v>
      </c>
      <c r="K70" s="15">
        <v>51596</v>
      </c>
      <c r="L70" s="15">
        <v>41503</v>
      </c>
      <c r="M70" s="15">
        <v>41567</v>
      </c>
      <c r="N70" s="15">
        <v>45947</v>
      </c>
      <c r="O70" s="15">
        <f t="shared" si="8"/>
        <v>480003</v>
      </c>
      <c r="Q70" s="204"/>
    </row>
    <row r="71" spans="2:17" ht="14" customHeight="1" x14ac:dyDescent="0.25">
      <c r="B71" s="15" t="s">
        <v>70</v>
      </c>
      <c r="C71" s="15">
        <v>3116</v>
      </c>
      <c r="D71" s="15">
        <v>5455</v>
      </c>
      <c r="E71" s="15">
        <v>6663</v>
      </c>
      <c r="F71" s="15">
        <v>8101</v>
      </c>
      <c r="G71" s="15">
        <v>8678</v>
      </c>
      <c r="H71" s="15">
        <v>10620</v>
      </c>
      <c r="I71" s="15">
        <v>12039</v>
      </c>
      <c r="J71" s="27">
        <v>12303</v>
      </c>
      <c r="K71" s="15">
        <v>12053</v>
      </c>
      <c r="L71" s="15">
        <v>13077</v>
      </c>
      <c r="M71" s="15">
        <v>13104</v>
      </c>
      <c r="N71" s="15">
        <v>13476</v>
      </c>
      <c r="O71" s="15">
        <f t="shared" si="8"/>
        <v>118685</v>
      </c>
      <c r="Q71" s="204"/>
    </row>
    <row r="72" spans="2:17" ht="14" customHeight="1" x14ac:dyDescent="0.25">
      <c r="B72" s="15" t="s">
        <v>71</v>
      </c>
      <c r="C72" s="15">
        <v>5218</v>
      </c>
      <c r="D72" s="15">
        <v>6010</v>
      </c>
      <c r="E72" s="15">
        <v>7002</v>
      </c>
      <c r="F72" s="15">
        <v>7079</v>
      </c>
      <c r="G72" s="15">
        <v>7506</v>
      </c>
      <c r="H72" s="15">
        <v>8620</v>
      </c>
      <c r="I72" s="15">
        <v>11008</v>
      </c>
      <c r="J72" s="28">
        <v>13690</v>
      </c>
      <c r="K72" s="15">
        <v>15310</v>
      </c>
      <c r="L72" s="15">
        <v>20002</v>
      </c>
      <c r="M72" s="15">
        <v>20041</v>
      </c>
      <c r="N72" s="15">
        <v>20107</v>
      </c>
      <c r="O72" s="15">
        <f t="shared" si="8"/>
        <v>141593</v>
      </c>
      <c r="Q72" s="204"/>
    </row>
    <row r="73" spans="2:17" ht="14" customHeight="1" x14ac:dyDescent="0.25">
      <c r="B73" s="15" t="s">
        <v>72</v>
      </c>
      <c r="C73" s="15">
        <v>8506</v>
      </c>
      <c r="D73" s="15">
        <v>12157</v>
      </c>
      <c r="E73" s="15">
        <v>10378</v>
      </c>
      <c r="F73" s="15">
        <v>6658</v>
      </c>
      <c r="G73" s="15">
        <v>6155</v>
      </c>
      <c r="H73" s="15">
        <v>10707</v>
      </c>
      <c r="I73" s="15">
        <v>20462</v>
      </c>
      <c r="J73" s="28">
        <v>19329</v>
      </c>
      <c r="K73" s="15">
        <v>15641</v>
      </c>
      <c r="L73" s="15">
        <v>16074</v>
      </c>
      <c r="M73" s="15">
        <v>15959</v>
      </c>
      <c r="N73" s="15">
        <v>18012</v>
      </c>
      <c r="O73" s="15">
        <f t="shared" si="8"/>
        <v>160038</v>
      </c>
      <c r="Q73" s="204"/>
    </row>
    <row r="74" spans="2:17" ht="14" customHeight="1" x14ac:dyDescent="0.25">
      <c r="B74" s="15" t="s">
        <v>73</v>
      </c>
      <c r="C74" s="15">
        <v>15141</v>
      </c>
      <c r="D74" s="15">
        <v>16620</v>
      </c>
      <c r="E74" s="15">
        <v>20823</v>
      </c>
      <c r="F74" s="15">
        <v>25681</v>
      </c>
      <c r="G74" s="15">
        <v>28277</v>
      </c>
      <c r="H74" s="15">
        <v>32575</v>
      </c>
      <c r="I74" s="15">
        <v>34134</v>
      </c>
      <c r="J74" s="28">
        <v>34914</v>
      </c>
      <c r="K74" s="15">
        <v>36060</v>
      </c>
      <c r="L74" s="15">
        <v>40422</v>
      </c>
      <c r="M74" s="15">
        <v>41020</v>
      </c>
      <c r="N74" s="15">
        <v>50353</v>
      </c>
      <c r="O74" s="15">
        <f t="shared" si="8"/>
        <v>376020</v>
      </c>
      <c r="Q74" s="204"/>
    </row>
    <row r="75" spans="2:17" ht="14" customHeight="1" x14ac:dyDescent="0.25">
      <c r="B75" s="15" t="s">
        <v>74</v>
      </c>
      <c r="C75" s="15">
        <v>6016</v>
      </c>
      <c r="D75" s="15">
        <v>10073</v>
      </c>
      <c r="E75" s="15">
        <v>10087</v>
      </c>
      <c r="F75" s="15">
        <v>11080</v>
      </c>
      <c r="G75" s="15">
        <v>13029</v>
      </c>
      <c r="H75" s="15">
        <v>12132</v>
      </c>
      <c r="I75" s="15">
        <v>10039</v>
      </c>
      <c r="J75" s="28">
        <v>12103</v>
      </c>
      <c r="K75" s="15">
        <v>13211</v>
      </c>
      <c r="L75" s="15">
        <v>12085</v>
      </c>
      <c r="M75" s="15">
        <v>12506</v>
      </c>
      <c r="N75" s="15">
        <v>5135</v>
      </c>
      <c r="O75" s="15">
        <f t="shared" si="8"/>
        <v>127496</v>
      </c>
      <c r="Q75" s="204"/>
    </row>
    <row r="76" spans="2:17" ht="14" customHeight="1" x14ac:dyDescent="0.25">
      <c r="B76" s="15" t="s">
        <v>75</v>
      </c>
      <c r="C76" s="15">
        <v>1139</v>
      </c>
      <c r="D76" s="15">
        <v>3198</v>
      </c>
      <c r="E76" s="15">
        <v>6172</v>
      </c>
      <c r="F76" s="15">
        <v>8726</v>
      </c>
      <c r="G76" s="15">
        <v>12058</v>
      </c>
      <c r="H76" s="15">
        <v>13209</v>
      </c>
      <c r="I76" s="15">
        <v>14335</v>
      </c>
      <c r="J76" s="28">
        <v>14190</v>
      </c>
      <c r="K76" s="15">
        <v>15800</v>
      </c>
      <c r="L76" s="15">
        <v>18202</v>
      </c>
      <c r="M76" s="15">
        <v>18508</v>
      </c>
      <c r="N76" s="15">
        <v>18618</v>
      </c>
      <c r="O76" s="15">
        <f t="shared" si="8"/>
        <v>144155</v>
      </c>
      <c r="Q76" s="204"/>
    </row>
    <row r="77" spans="2:17" ht="14" customHeight="1" x14ac:dyDescent="0.25">
      <c r="B77" s="15" t="s">
        <v>76</v>
      </c>
      <c r="C77" s="15">
        <v>4490</v>
      </c>
      <c r="D77" s="15">
        <v>3505</v>
      </c>
      <c r="E77" s="15">
        <v>3679</v>
      </c>
      <c r="F77" s="15">
        <v>2953</v>
      </c>
      <c r="G77" s="15">
        <v>5466</v>
      </c>
      <c r="H77" s="15">
        <v>5668</v>
      </c>
      <c r="I77" s="15">
        <v>4240</v>
      </c>
      <c r="J77" s="27">
        <v>3263</v>
      </c>
      <c r="K77" s="15">
        <v>7125</v>
      </c>
      <c r="L77" s="15">
        <v>14506</v>
      </c>
      <c r="M77" s="15">
        <v>21170</v>
      </c>
      <c r="N77" s="15">
        <v>36270</v>
      </c>
      <c r="O77" s="15">
        <f t="shared" si="8"/>
        <v>112335</v>
      </c>
      <c r="Q77" s="204"/>
    </row>
    <row r="78" spans="2:17" ht="14" customHeight="1" x14ac:dyDescent="0.25">
      <c r="B78" s="15" t="s">
        <v>77</v>
      </c>
      <c r="C78" s="15">
        <v>18178</v>
      </c>
      <c r="D78" s="15">
        <v>23289</v>
      </c>
      <c r="E78" s="15">
        <v>31154</v>
      </c>
      <c r="F78" s="15">
        <v>26278</v>
      </c>
      <c r="G78" s="15">
        <v>29126</v>
      </c>
      <c r="H78" s="15">
        <v>27449</v>
      </c>
      <c r="I78" s="15">
        <v>23750</v>
      </c>
      <c r="J78" s="15">
        <v>26615</v>
      </c>
      <c r="K78" s="15">
        <v>27057</v>
      </c>
      <c r="L78" s="15">
        <v>20472</v>
      </c>
      <c r="M78" s="15">
        <v>28280</v>
      </c>
      <c r="N78" s="15">
        <v>35024</v>
      </c>
      <c r="O78" s="15">
        <f t="shared" si="8"/>
        <v>316672</v>
      </c>
      <c r="Q78" s="204"/>
    </row>
    <row r="79" spans="2:17" ht="14" customHeight="1" x14ac:dyDescent="0.25">
      <c r="B79" s="15" t="s">
        <v>78</v>
      </c>
      <c r="C79" s="15">
        <v>66051</v>
      </c>
      <c r="D79" s="15">
        <v>74402</v>
      </c>
      <c r="E79" s="15">
        <v>88869</v>
      </c>
      <c r="F79" s="15">
        <v>75842</v>
      </c>
      <c r="G79" s="15">
        <v>77695</v>
      </c>
      <c r="H79" s="15">
        <v>93680</v>
      </c>
      <c r="I79" s="15">
        <v>64285</v>
      </c>
      <c r="J79" s="15">
        <v>84159</v>
      </c>
      <c r="K79" s="15">
        <v>74073</v>
      </c>
      <c r="L79" s="15">
        <v>72115</v>
      </c>
      <c r="M79" s="15">
        <v>82432</v>
      </c>
      <c r="N79" s="15">
        <v>94139</v>
      </c>
      <c r="O79" s="15">
        <f t="shared" si="8"/>
        <v>947742</v>
      </c>
      <c r="Q79" s="204"/>
    </row>
    <row r="80" spans="2:17" ht="14" customHeight="1" x14ac:dyDescent="0.25">
      <c r="B80" s="15" t="s">
        <v>79</v>
      </c>
      <c r="C80" s="15">
        <v>5859</v>
      </c>
      <c r="D80" s="15">
        <v>8086</v>
      </c>
      <c r="E80" s="15">
        <v>10000</v>
      </c>
      <c r="F80" s="15">
        <v>7354</v>
      </c>
      <c r="G80" s="15">
        <v>8000</v>
      </c>
      <c r="H80" s="15">
        <v>10573</v>
      </c>
      <c r="I80" s="15">
        <v>8500</v>
      </c>
      <c r="J80" s="15">
        <v>10579</v>
      </c>
      <c r="K80" s="15">
        <v>13385</v>
      </c>
      <c r="L80" s="15">
        <v>11307</v>
      </c>
      <c r="M80" s="15">
        <v>15188</v>
      </c>
      <c r="N80" s="15">
        <v>20887</v>
      </c>
      <c r="O80" s="15">
        <f t="shared" si="8"/>
        <v>129718</v>
      </c>
      <c r="Q80" s="204"/>
    </row>
    <row r="81" spans="2:17" ht="14" customHeight="1" x14ac:dyDescent="0.25">
      <c r="B81" s="15" t="s">
        <v>80</v>
      </c>
      <c r="C81" s="15">
        <v>6313</v>
      </c>
      <c r="D81" s="15">
        <v>8340</v>
      </c>
      <c r="E81" s="15">
        <v>13155</v>
      </c>
      <c r="F81" s="15">
        <v>14863</v>
      </c>
      <c r="G81" s="15">
        <v>23755</v>
      </c>
      <c r="H81" s="15">
        <v>26643</v>
      </c>
      <c r="I81" s="15">
        <v>28896</v>
      </c>
      <c r="J81" s="15">
        <v>26266</v>
      </c>
      <c r="K81" s="15">
        <v>21868</v>
      </c>
      <c r="L81" s="15">
        <v>30461</v>
      </c>
      <c r="M81" s="15">
        <v>31170</v>
      </c>
      <c r="N81" s="15">
        <v>29816</v>
      </c>
      <c r="O81" s="15">
        <f t="shared" si="8"/>
        <v>261546</v>
      </c>
      <c r="Q81" s="204"/>
    </row>
    <row r="82" spans="2:17" ht="14" customHeight="1" x14ac:dyDescent="0.25">
      <c r="B82" s="15" t="s">
        <v>87</v>
      </c>
      <c r="C82" s="15">
        <v>24960</v>
      </c>
      <c r="D82" s="15">
        <v>19389</v>
      </c>
      <c r="E82" s="15">
        <v>33484</v>
      </c>
      <c r="F82" s="15">
        <v>20459</v>
      </c>
      <c r="G82" s="15">
        <v>26914</v>
      </c>
      <c r="H82" s="15">
        <v>36622</v>
      </c>
      <c r="I82" s="15">
        <v>36897</v>
      </c>
      <c r="J82" s="15">
        <v>36919</v>
      </c>
      <c r="K82" s="15">
        <v>42812</v>
      </c>
      <c r="L82" s="15">
        <v>53990</v>
      </c>
      <c r="M82" s="15">
        <v>42099</v>
      </c>
      <c r="N82" s="15">
        <v>47330</v>
      </c>
      <c r="O82" s="15">
        <f t="shared" si="8"/>
        <v>421875</v>
      </c>
      <c r="Q82" s="204"/>
    </row>
    <row r="83" spans="2:17" ht="14" customHeight="1" x14ac:dyDescent="0.25">
      <c r="B83" s="15" t="s">
        <v>88</v>
      </c>
      <c r="C83" s="15">
        <v>4598</v>
      </c>
      <c r="D83" s="15">
        <v>11068</v>
      </c>
      <c r="E83" s="15">
        <v>15880</v>
      </c>
      <c r="F83" s="15">
        <v>24166</v>
      </c>
      <c r="G83" s="15">
        <v>24373</v>
      </c>
      <c r="H83" s="15">
        <v>30441</v>
      </c>
      <c r="I83" s="15">
        <v>34531</v>
      </c>
      <c r="J83" s="15">
        <v>35612</v>
      </c>
      <c r="K83" s="15">
        <v>29129</v>
      </c>
      <c r="L83" s="15">
        <v>46000</v>
      </c>
      <c r="M83" s="15">
        <v>71143</v>
      </c>
      <c r="N83" s="15">
        <v>117533</v>
      </c>
      <c r="O83" s="15">
        <f t="shared" si="8"/>
        <v>444474</v>
      </c>
      <c r="Q83" s="204"/>
    </row>
    <row r="84" spans="2:17" ht="14" customHeight="1" x14ac:dyDescent="0.25">
      <c r="B84" s="15" t="s">
        <v>21</v>
      </c>
      <c r="C84" s="15">
        <f t="shared" ref="C84:N84" si="9">SUM(C69:C83)</f>
        <v>327955</v>
      </c>
      <c r="D84" s="15">
        <f t="shared" si="9"/>
        <v>423342</v>
      </c>
      <c r="E84" s="15">
        <f t="shared" si="9"/>
        <v>503451</v>
      </c>
      <c r="F84" s="15">
        <f t="shared" si="9"/>
        <v>489719</v>
      </c>
      <c r="G84" s="15">
        <f t="shared" si="9"/>
        <v>555127</v>
      </c>
      <c r="H84" s="15">
        <f t="shared" si="9"/>
        <v>615637</v>
      </c>
      <c r="I84" s="15">
        <f t="shared" si="9"/>
        <v>609246</v>
      </c>
      <c r="J84" s="15">
        <f t="shared" si="9"/>
        <v>649057</v>
      </c>
      <c r="K84" s="15">
        <f t="shared" si="9"/>
        <v>662023</v>
      </c>
      <c r="L84" s="15">
        <f t="shared" si="9"/>
        <v>711311</v>
      </c>
      <c r="M84" s="15">
        <f t="shared" si="9"/>
        <v>755565</v>
      </c>
      <c r="N84" s="15">
        <f t="shared" si="9"/>
        <v>892825</v>
      </c>
      <c r="O84" s="15">
        <f t="shared" si="8"/>
        <v>7195258</v>
      </c>
    </row>
    <row r="85" spans="2:17" ht="14" customHeight="1" x14ac:dyDescent="0.25">
      <c r="B85" s="23" t="s">
        <v>83</v>
      </c>
      <c r="C85" s="23">
        <v>389000</v>
      </c>
      <c r="D85" s="23">
        <v>496000</v>
      </c>
      <c r="E85" s="29">
        <v>617000</v>
      </c>
      <c r="F85" s="29">
        <v>607000</v>
      </c>
      <c r="G85" s="29">
        <v>673000</v>
      </c>
      <c r="H85" s="29">
        <v>761000</v>
      </c>
      <c r="I85" s="29">
        <v>737000</v>
      </c>
      <c r="J85" s="29">
        <v>798000</v>
      </c>
      <c r="K85" s="29">
        <v>829000</v>
      </c>
      <c r="L85" s="29">
        <v>883000</v>
      </c>
      <c r="M85" s="29">
        <v>815352</v>
      </c>
      <c r="N85" s="29">
        <v>1095000</v>
      </c>
      <c r="O85" s="29">
        <f t="shared" si="8"/>
        <v>8700352</v>
      </c>
    </row>
    <row r="86" spans="2:17" ht="14" customHeight="1" x14ac:dyDescent="0.25">
      <c r="B86" s="15" t="s">
        <v>84</v>
      </c>
      <c r="C86" s="25">
        <f t="shared" ref="C86:O86" si="10">C84/C85</f>
        <v>0.84307197943444734</v>
      </c>
      <c r="D86" s="25">
        <f t="shared" si="10"/>
        <v>0.8535120967741936</v>
      </c>
      <c r="E86" s="25">
        <f t="shared" si="10"/>
        <v>0.81596596434359803</v>
      </c>
      <c r="F86" s="25">
        <f t="shared" si="10"/>
        <v>0.80678583196046127</v>
      </c>
      <c r="G86" s="25">
        <f t="shared" si="10"/>
        <v>0.82485438335809802</v>
      </c>
      <c r="H86" s="25">
        <f t="shared" si="10"/>
        <v>0.80898423127463859</v>
      </c>
      <c r="I86" s="25">
        <f t="shared" si="10"/>
        <v>0.8266567164179105</v>
      </c>
      <c r="J86" s="25">
        <f t="shared" si="10"/>
        <v>0.81335463659147866</v>
      </c>
      <c r="K86" s="25">
        <f t="shared" si="10"/>
        <v>0.79858021712907112</v>
      </c>
      <c r="L86" s="25">
        <f t="shared" si="10"/>
        <v>0.80556172140430349</v>
      </c>
      <c r="M86" s="25">
        <f t="shared" si="10"/>
        <v>0.92667338769022456</v>
      </c>
      <c r="N86" s="25">
        <f t="shared" si="10"/>
        <v>0.81536529680365299</v>
      </c>
      <c r="O86" s="25">
        <f t="shared" si="10"/>
        <v>0.82700768888431175</v>
      </c>
      <c r="P86" s="25"/>
    </row>
    <row r="87" spans="2:17" ht="14" customHeight="1" x14ac:dyDescent="0.25">
      <c r="B87" s="15" t="s">
        <v>85</v>
      </c>
      <c r="C87" s="23">
        <v>1448000</v>
      </c>
      <c r="D87" s="23">
        <v>1616908</v>
      </c>
      <c r="E87" s="29">
        <v>1988004</v>
      </c>
      <c r="F87" s="23">
        <v>1776780</v>
      </c>
      <c r="G87" s="23">
        <v>1997000</v>
      </c>
      <c r="H87" s="23">
        <v>2236000</v>
      </c>
      <c r="I87" s="23">
        <v>2065000</v>
      </c>
      <c r="J87" s="23">
        <v>2237000</v>
      </c>
      <c r="K87" s="23">
        <v>2449000</v>
      </c>
      <c r="L87" s="23">
        <v>2033000</v>
      </c>
      <c r="M87" s="23">
        <v>2549000</v>
      </c>
      <c r="N87" s="23">
        <v>2353000</v>
      </c>
      <c r="O87" s="29">
        <f>SUM(C87:N87)</f>
        <v>24748692</v>
      </c>
      <c r="P87" s="23"/>
    </row>
    <row r="88" spans="2:17" ht="14" customHeight="1" x14ac:dyDescent="0.25">
      <c r="B88" s="15" t="s">
        <v>86</v>
      </c>
      <c r="C88" s="25">
        <f t="shared" ref="C88:O88" si="11">C85/C87</f>
        <v>0.26864640883977903</v>
      </c>
      <c r="D88" s="25">
        <f t="shared" si="11"/>
        <v>0.30675833133363184</v>
      </c>
      <c r="E88" s="25">
        <f t="shared" si="11"/>
        <v>0.31036154856831272</v>
      </c>
      <c r="F88" s="25">
        <f t="shared" si="11"/>
        <v>0.34162923941061923</v>
      </c>
      <c r="G88" s="25">
        <f t="shared" si="11"/>
        <v>0.33700550826239362</v>
      </c>
      <c r="H88" s="25">
        <f t="shared" si="11"/>
        <v>0.34033989266547404</v>
      </c>
      <c r="I88" s="25">
        <f t="shared" si="11"/>
        <v>0.35690072639225184</v>
      </c>
      <c r="J88" s="25">
        <f t="shared" si="11"/>
        <v>0.356727760393384</v>
      </c>
      <c r="K88" s="25">
        <f t="shared" si="11"/>
        <v>0.33850551245406291</v>
      </c>
      <c r="L88" s="25">
        <f t="shared" si="11"/>
        <v>0.43433349729463844</v>
      </c>
      <c r="M88" s="25">
        <f t="shared" si="11"/>
        <v>0.31987132208709296</v>
      </c>
      <c r="N88" s="25">
        <f t="shared" si="11"/>
        <v>0.46536336591585209</v>
      </c>
      <c r="O88" s="25">
        <f t="shared" si="11"/>
        <v>0.35154795251401572</v>
      </c>
      <c r="P88" s="25"/>
    </row>
    <row r="89" spans="2:17" ht="14" customHeight="1" x14ac:dyDescent="0.25"/>
    <row r="90" spans="2:17" ht="14" customHeight="1" x14ac:dyDescent="0.25">
      <c r="B90" s="39" t="s">
        <v>108</v>
      </c>
      <c r="C90" s="40" t="s">
        <v>94</v>
      </c>
      <c r="D90" s="40" t="s">
        <v>95</v>
      </c>
      <c r="E90" s="40" t="s">
        <v>96</v>
      </c>
      <c r="F90" s="40" t="s">
        <v>97</v>
      </c>
      <c r="G90" s="40" t="s">
        <v>98</v>
      </c>
      <c r="H90" s="40" t="s">
        <v>99</v>
      </c>
      <c r="I90" s="40" t="s">
        <v>100</v>
      </c>
      <c r="J90" s="40" t="s">
        <v>101</v>
      </c>
      <c r="K90" s="40" t="s">
        <v>102</v>
      </c>
      <c r="L90" s="40" t="s">
        <v>103</v>
      </c>
      <c r="M90" s="40" t="s">
        <v>104</v>
      </c>
      <c r="N90" s="40" t="s">
        <v>105</v>
      </c>
      <c r="O90" s="39" t="s">
        <v>38</v>
      </c>
    </row>
    <row r="91" spans="2:17" ht="14" customHeight="1" x14ac:dyDescent="0.25">
      <c r="B91" s="15" t="s">
        <v>69</v>
      </c>
      <c r="C91" s="15">
        <v>92926</v>
      </c>
      <c r="D91" s="15">
        <v>87473</v>
      </c>
      <c r="E91" s="15">
        <v>104388</v>
      </c>
      <c r="F91" s="15">
        <v>105475</v>
      </c>
      <c r="G91" s="15">
        <v>114183</v>
      </c>
      <c r="H91" s="11">
        <v>132553</v>
      </c>
      <c r="I91" s="11">
        <v>158957</v>
      </c>
      <c r="J91" s="24">
        <v>168885</v>
      </c>
      <c r="K91" s="24">
        <v>201259</v>
      </c>
      <c r="L91" s="24">
        <v>205789</v>
      </c>
      <c r="M91" s="24">
        <v>217624</v>
      </c>
      <c r="N91" s="24">
        <v>235197</v>
      </c>
      <c r="O91" s="15">
        <f t="shared" ref="O91:O107" si="12">SUM(C91:N91)</f>
        <v>1824709</v>
      </c>
    </row>
    <row r="92" spans="2:17" ht="14" customHeight="1" x14ac:dyDescent="0.25">
      <c r="B92" s="15" t="s">
        <v>20</v>
      </c>
      <c r="C92" s="15">
        <v>16031</v>
      </c>
      <c r="D92" s="15">
        <v>8526</v>
      </c>
      <c r="E92" s="15">
        <v>20317</v>
      </c>
      <c r="F92" s="15">
        <v>10212</v>
      </c>
      <c r="G92" s="15">
        <v>21056</v>
      </c>
      <c r="H92" s="15">
        <v>24109</v>
      </c>
      <c r="I92" s="15">
        <v>25033</v>
      </c>
      <c r="J92" s="24">
        <v>27021</v>
      </c>
      <c r="K92" s="24">
        <v>30016</v>
      </c>
      <c r="L92" s="24">
        <v>30063</v>
      </c>
      <c r="M92" s="24">
        <v>28765</v>
      </c>
      <c r="N92" s="24">
        <v>30007</v>
      </c>
      <c r="O92" s="15">
        <f t="shared" si="12"/>
        <v>271156</v>
      </c>
    </row>
    <row r="93" spans="2:17" ht="14" customHeight="1" x14ac:dyDescent="0.25">
      <c r="B93" s="15" t="s">
        <v>70</v>
      </c>
      <c r="C93" s="15">
        <v>3530</v>
      </c>
      <c r="D93" s="15">
        <v>2916</v>
      </c>
      <c r="E93" s="15">
        <v>1795</v>
      </c>
      <c r="F93" s="15">
        <v>2137</v>
      </c>
      <c r="G93" s="15">
        <v>4330</v>
      </c>
      <c r="H93" s="11">
        <v>4302</v>
      </c>
      <c r="I93" s="11">
        <v>5022</v>
      </c>
      <c r="J93" s="11">
        <v>7166</v>
      </c>
      <c r="K93" s="11">
        <v>8276</v>
      </c>
      <c r="L93" s="14">
        <v>10119</v>
      </c>
      <c r="M93" s="14">
        <v>11011</v>
      </c>
      <c r="N93" s="14">
        <v>11337</v>
      </c>
      <c r="O93" s="15">
        <f t="shared" si="12"/>
        <v>71941</v>
      </c>
    </row>
    <row r="94" spans="2:17" ht="14" customHeight="1" x14ac:dyDescent="0.25">
      <c r="B94" s="15" t="s">
        <v>71</v>
      </c>
      <c r="C94" s="15">
        <v>12922</v>
      </c>
      <c r="D94" s="15">
        <v>6225</v>
      </c>
      <c r="E94" s="15">
        <v>15414</v>
      </c>
      <c r="F94" s="15">
        <v>9002</v>
      </c>
      <c r="G94" s="15">
        <v>10125</v>
      </c>
      <c r="H94" s="15">
        <v>15295</v>
      </c>
      <c r="I94" s="15">
        <v>11524</v>
      </c>
      <c r="J94" s="24">
        <v>9578</v>
      </c>
      <c r="K94" s="24">
        <v>8468</v>
      </c>
      <c r="L94" s="24">
        <v>5101</v>
      </c>
      <c r="M94" s="24">
        <v>5811</v>
      </c>
      <c r="N94" s="24">
        <v>11292</v>
      </c>
      <c r="O94" s="15">
        <f t="shared" si="12"/>
        <v>120757</v>
      </c>
    </row>
    <row r="95" spans="2:17" ht="14" customHeight="1" x14ac:dyDescent="0.25">
      <c r="B95" s="15" t="s">
        <v>72</v>
      </c>
      <c r="C95" s="15">
        <v>9652</v>
      </c>
      <c r="D95" s="15">
        <v>6131</v>
      </c>
      <c r="E95" s="15">
        <v>9985</v>
      </c>
      <c r="F95" s="15">
        <v>5074</v>
      </c>
      <c r="G95" s="15">
        <v>7024</v>
      </c>
      <c r="H95" s="15">
        <v>12961</v>
      </c>
      <c r="I95" s="15">
        <v>10051</v>
      </c>
      <c r="J95" s="24">
        <v>10677</v>
      </c>
      <c r="K95" s="24">
        <v>10878</v>
      </c>
      <c r="L95" s="24">
        <v>10059</v>
      </c>
      <c r="M95" s="24">
        <v>14178</v>
      </c>
      <c r="N95" s="24">
        <v>15815</v>
      </c>
      <c r="O95" s="15">
        <f t="shared" si="12"/>
        <v>122485</v>
      </c>
    </row>
    <row r="96" spans="2:17" ht="14" customHeight="1" x14ac:dyDescent="0.25">
      <c r="B96" s="15" t="s">
        <v>73</v>
      </c>
      <c r="C96" s="15">
        <v>12268</v>
      </c>
      <c r="D96" s="15">
        <v>8414</v>
      </c>
      <c r="E96" s="15">
        <v>11034</v>
      </c>
      <c r="F96" s="15">
        <v>4167</v>
      </c>
      <c r="G96" s="15">
        <v>11496</v>
      </c>
      <c r="H96" s="15">
        <v>13024</v>
      </c>
      <c r="I96" s="15">
        <v>10422</v>
      </c>
      <c r="J96" s="24">
        <v>4571</v>
      </c>
      <c r="K96" s="24">
        <v>11531</v>
      </c>
      <c r="L96" s="24">
        <v>10052</v>
      </c>
      <c r="M96" s="24">
        <v>15034</v>
      </c>
      <c r="N96" s="24">
        <v>21233</v>
      </c>
      <c r="O96" s="15">
        <f t="shared" si="12"/>
        <v>133246</v>
      </c>
    </row>
    <row r="97" spans="2:15" ht="14" customHeight="1" x14ac:dyDescent="0.25">
      <c r="B97" s="15" t="s">
        <v>74</v>
      </c>
      <c r="C97" s="15">
        <v>11009</v>
      </c>
      <c r="D97" s="15">
        <v>7117</v>
      </c>
      <c r="E97" s="15">
        <v>12026</v>
      </c>
      <c r="F97" s="15">
        <v>8813</v>
      </c>
      <c r="G97" s="15">
        <v>11009</v>
      </c>
      <c r="H97" s="15">
        <v>13133</v>
      </c>
      <c r="I97" s="15">
        <v>12655</v>
      </c>
      <c r="J97" s="24">
        <v>16017</v>
      </c>
      <c r="K97" s="24">
        <v>18005</v>
      </c>
      <c r="L97" s="24">
        <v>18016</v>
      </c>
      <c r="M97" s="24">
        <v>15072</v>
      </c>
      <c r="N97" s="24">
        <v>7795</v>
      </c>
      <c r="O97" s="15">
        <f t="shared" si="12"/>
        <v>150667</v>
      </c>
    </row>
    <row r="98" spans="2:15" ht="14" customHeight="1" x14ac:dyDescent="0.25">
      <c r="B98" s="15" t="s">
        <v>75</v>
      </c>
      <c r="C98" s="15">
        <v>8085</v>
      </c>
      <c r="D98" s="15">
        <v>3435</v>
      </c>
      <c r="E98" s="15">
        <v>10059</v>
      </c>
      <c r="F98" s="15">
        <v>9087</v>
      </c>
      <c r="G98" s="15">
        <v>10069</v>
      </c>
      <c r="H98" s="15">
        <v>11259</v>
      </c>
      <c r="I98" s="15">
        <v>12044</v>
      </c>
      <c r="J98" s="24">
        <v>12525</v>
      </c>
      <c r="K98" s="24">
        <v>11039</v>
      </c>
      <c r="L98" s="24">
        <v>7026</v>
      </c>
      <c r="M98" s="24">
        <v>8074</v>
      </c>
      <c r="N98" s="24">
        <v>8493</v>
      </c>
      <c r="O98" s="15">
        <f t="shared" si="12"/>
        <v>111195</v>
      </c>
    </row>
    <row r="99" spans="2:15" ht="14" customHeight="1" x14ac:dyDescent="0.25">
      <c r="B99" s="15" t="s">
        <v>76</v>
      </c>
      <c r="C99" s="15">
        <v>0</v>
      </c>
      <c r="D99" s="15">
        <v>0</v>
      </c>
      <c r="E99" s="15">
        <v>3160</v>
      </c>
      <c r="F99" s="15">
        <v>3439</v>
      </c>
      <c r="G99" s="15">
        <v>5440</v>
      </c>
      <c r="H99" s="15">
        <v>7658</v>
      </c>
      <c r="I99" s="15">
        <v>7807</v>
      </c>
      <c r="J99" s="15">
        <v>10045</v>
      </c>
      <c r="K99" s="15">
        <v>10142</v>
      </c>
      <c r="L99" s="15">
        <v>12047</v>
      </c>
      <c r="M99" s="15">
        <v>8262</v>
      </c>
      <c r="N99" s="15">
        <v>10157</v>
      </c>
      <c r="O99" s="15">
        <f t="shared" si="12"/>
        <v>78157</v>
      </c>
    </row>
    <row r="100" spans="2:15" ht="14" customHeight="1" x14ac:dyDescent="0.25">
      <c r="B100" s="15" t="s">
        <v>77</v>
      </c>
      <c r="C100" s="15">
        <v>72236</v>
      </c>
      <c r="D100" s="15">
        <v>45267</v>
      </c>
      <c r="E100" s="15">
        <v>74509</v>
      </c>
      <c r="F100" s="15">
        <v>37781</v>
      </c>
      <c r="G100" s="15">
        <v>71658</v>
      </c>
      <c r="H100" s="11">
        <v>91297</v>
      </c>
      <c r="I100" s="11">
        <v>105521</v>
      </c>
      <c r="J100" s="14">
        <v>104852</v>
      </c>
      <c r="K100" s="14">
        <v>122000</v>
      </c>
      <c r="L100" s="14">
        <v>101768</v>
      </c>
      <c r="M100" s="14">
        <v>103316</v>
      </c>
      <c r="N100" s="14">
        <v>85632</v>
      </c>
      <c r="O100" s="15">
        <f t="shared" si="12"/>
        <v>1015837</v>
      </c>
    </row>
    <row r="101" spans="2:15" ht="14" customHeight="1" x14ac:dyDescent="0.25">
      <c r="B101" s="15" t="s">
        <v>78</v>
      </c>
      <c r="C101" s="15">
        <v>19346</v>
      </c>
      <c r="D101" s="15">
        <v>23200</v>
      </c>
      <c r="E101" s="15">
        <v>65754</v>
      </c>
      <c r="F101" s="15">
        <v>9245</v>
      </c>
      <c r="G101" s="15">
        <v>9825</v>
      </c>
      <c r="H101" s="11">
        <v>77938</v>
      </c>
      <c r="I101" s="11">
        <v>8461</v>
      </c>
      <c r="J101" s="11">
        <v>34502</v>
      </c>
      <c r="K101" s="11">
        <v>83135</v>
      </c>
      <c r="L101" s="11">
        <v>71700</v>
      </c>
      <c r="M101" s="11">
        <v>62493</v>
      </c>
      <c r="N101" s="11">
        <v>55796</v>
      </c>
      <c r="O101" s="15">
        <f t="shared" si="12"/>
        <v>521395</v>
      </c>
    </row>
    <row r="102" spans="2:15" ht="14" customHeight="1" x14ac:dyDescent="0.25">
      <c r="B102" s="15" t="s">
        <v>79</v>
      </c>
      <c r="C102" s="15">
        <v>19451</v>
      </c>
      <c r="D102" s="15">
        <v>10271</v>
      </c>
      <c r="E102" s="15">
        <v>20350</v>
      </c>
      <c r="F102" s="15">
        <v>15052</v>
      </c>
      <c r="G102" s="15">
        <v>20739</v>
      </c>
      <c r="H102" s="11">
        <v>22500</v>
      </c>
      <c r="I102" s="11">
        <v>24452</v>
      </c>
      <c r="J102" s="11">
        <v>26558</v>
      </c>
      <c r="K102" s="11">
        <v>20508</v>
      </c>
      <c r="L102" s="11">
        <v>19354</v>
      </c>
      <c r="M102" s="11">
        <v>11513</v>
      </c>
      <c r="N102" s="11">
        <v>12506</v>
      </c>
      <c r="O102" s="15">
        <f t="shared" si="12"/>
        <v>223254</v>
      </c>
    </row>
    <row r="103" spans="2:15" ht="14" customHeight="1" x14ac:dyDescent="0.25">
      <c r="B103" s="15" t="s">
        <v>80</v>
      </c>
      <c r="C103" s="15">
        <v>13781</v>
      </c>
      <c r="D103" s="15">
        <v>6565</v>
      </c>
      <c r="E103" s="15">
        <v>15057</v>
      </c>
      <c r="F103" s="15">
        <v>3870</v>
      </c>
      <c r="G103" s="15">
        <v>11637</v>
      </c>
      <c r="H103" s="11">
        <v>12574</v>
      </c>
      <c r="I103" s="11">
        <v>10200</v>
      </c>
      <c r="J103" s="11">
        <v>11453</v>
      </c>
      <c r="K103" s="11">
        <v>10368</v>
      </c>
      <c r="L103" s="11">
        <v>9000</v>
      </c>
      <c r="M103" s="11">
        <v>12207</v>
      </c>
      <c r="N103" s="11">
        <v>10999</v>
      </c>
      <c r="O103" s="15">
        <f t="shared" si="12"/>
        <v>127711</v>
      </c>
    </row>
    <row r="104" spans="2:15" ht="14" customHeight="1" x14ac:dyDescent="0.25">
      <c r="B104" s="15" t="s">
        <v>81</v>
      </c>
      <c r="C104" s="15">
        <v>2122</v>
      </c>
      <c r="D104" s="15">
        <v>1263</v>
      </c>
      <c r="E104" s="15">
        <v>5735</v>
      </c>
      <c r="F104" s="15">
        <v>2017</v>
      </c>
      <c r="G104" s="15">
        <v>2276</v>
      </c>
      <c r="H104" s="11">
        <v>3597</v>
      </c>
      <c r="I104" s="11">
        <v>3640</v>
      </c>
      <c r="J104" s="11">
        <v>3766</v>
      </c>
      <c r="K104" s="11">
        <v>4279</v>
      </c>
      <c r="L104" s="11">
        <v>5569</v>
      </c>
      <c r="M104" s="11">
        <v>6052</v>
      </c>
      <c r="N104" s="11">
        <v>9863</v>
      </c>
      <c r="O104" s="15">
        <f t="shared" si="12"/>
        <v>50179</v>
      </c>
    </row>
    <row r="105" spans="2:15" ht="14" customHeight="1" x14ac:dyDescent="0.25">
      <c r="B105" s="15" t="s">
        <v>82</v>
      </c>
      <c r="C105" s="15">
        <v>1553</v>
      </c>
      <c r="D105" s="15">
        <v>740</v>
      </c>
      <c r="E105" s="15">
        <v>1400</v>
      </c>
      <c r="F105" s="15">
        <v>1049</v>
      </c>
      <c r="G105" s="15">
        <v>843</v>
      </c>
      <c r="H105" s="11">
        <v>613</v>
      </c>
      <c r="I105" s="11">
        <v>1793</v>
      </c>
      <c r="J105" s="24">
        <v>2429</v>
      </c>
      <c r="K105" s="24">
        <v>2519</v>
      </c>
      <c r="L105" s="24">
        <v>2553</v>
      </c>
      <c r="M105" s="24">
        <v>1508</v>
      </c>
      <c r="N105" s="24">
        <v>1729</v>
      </c>
      <c r="O105" s="15">
        <f t="shared" si="12"/>
        <v>18729</v>
      </c>
    </row>
    <row r="106" spans="2:15" ht="14" customHeight="1" x14ac:dyDescent="0.25">
      <c r="B106" s="15" t="s">
        <v>21</v>
      </c>
      <c r="C106" s="15">
        <f t="shared" ref="C106:N106" si="13">SUM(C91:C105)</f>
        <v>294912</v>
      </c>
      <c r="D106" s="15">
        <f t="shared" si="13"/>
        <v>217543</v>
      </c>
      <c r="E106" s="15">
        <f t="shared" si="13"/>
        <v>370983</v>
      </c>
      <c r="F106" s="15">
        <f t="shared" si="13"/>
        <v>226420</v>
      </c>
      <c r="G106" s="15">
        <f t="shared" si="13"/>
        <v>311710</v>
      </c>
      <c r="H106" s="15">
        <f t="shared" si="13"/>
        <v>442813</v>
      </c>
      <c r="I106" s="15">
        <f t="shared" si="13"/>
        <v>407582</v>
      </c>
      <c r="J106" s="15">
        <f t="shared" si="13"/>
        <v>450045</v>
      </c>
      <c r="K106" s="15">
        <f t="shared" si="13"/>
        <v>552423</v>
      </c>
      <c r="L106" s="15">
        <f t="shared" si="13"/>
        <v>518216</v>
      </c>
      <c r="M106" s="15">
        <f t="shared" si="13"/>
        <v>520920</v>
      </c>
      <c r="N106" s="15">
        <f t="shared" si="13"/>
        <v>527851</v>
      </c>
      <c r="O106" s="15">
        <f t="shared" si="12"/>
        <v>4841418</v>
      </c>
    </row>
    <row r="107" spans="2:15" ht="14" customHeight="1" x14ac:dyDescent="0.25">
      <c r="B107" s="23" t="s">
        <v>83</v>
      </c>
      <c r="C107" s="23">
        <v>352329</v>
      </c>
      <c r="D107" s="23">
        <v>272624</v>
      </c>
      <c r="E107" s="23">
        <v>444655</v>
      </c>
      <c r="F107" s="23">
        <v>282487</v>
      </c>
      <c r="G107" s="23">
        <v>359501</v>
      </c>
      <c r="H107" s="23">
        <v>531472</v>
      </c>
      <c r="I107" s="23">
        <v>486044</v>
      </c>
      <c r="J107" s="23">
        <v>529565</v>
      </c>
      <c r="K107" s="23">
        <v>610853</v>
      </c>
      <c r="L107" s="23">
        <v>554664</v>
      </c>
      <c r="M107" s="23">
        <v>598103</v>
      </c>
      <c r="N107" s="23">
        <v>640060</v>
      </c>
      <c r="O107" s="23">
        <f t="shared" si="12"/>
        <v>5662357</v>
      </c>
    </row>
    <row r="108" spans="2:15" ht="14" customHeight="1" x14ac:dyDescent="0.25">
      <c r="B108" s="15" t="s">
        <v>84</v>
      </c>
      <c r="C108" s="25">
        <f t="shared" ref="C108:O108" si="14">C106/C107</f>
        <v>0.83703583866215947</v>
      </c>
      <c r="D108" s="25">
        <f t="shared" si="14"/>
        <v>0.79795982745466287</v>
      </c>
      <c r="E108" s="25">
        <f t="shared" si="14"/>
        <v>0.83431649256164897</v>
      </c>
      <c r="F108" s="25">
        <f t="shared" si="14"/>
        <v>0.80152360993603244</v>
      </c>
      <c r="G108" s="25">
        <f t="shared" si="14"/>
        <v>0.86706295670943889</v>
      </c>
      <c r="H108" s="26">
        <f t="shared" si="14"/>
        <v>0.83318218081103046</v>
      </c>
      <c r="I108" s="26">
        <f t="shared" si="14"/>
        <v>0.83857017060183847</v>
      </c>
      <c r="J108" s="26">
        <f t="shared" si="14"/>
        <v>0.84983901881733126</v>
      </c>
      <c r="K108" s="26">
        <f t="shared" si="14"/>
        <v>0.90434687232443811</v>
      </c>
      <c r="L108" s="26">
        <f t="shared" si="14"/>
        <v>0.93428814561608464</v>
      </c>
      <c r="M108" s="26">
        <f t="shared" si="14"/>
        <v>0.87095366517138351</v>
      </c>
      <c r="N108" s="26">
        <f t="shared" si="14"/>
        <v>0.82468987282442274</v>
      </c>
      <c r="O108" s="25">
        <f t="shared" si="14"/>
        <v>0.85501814880269822</v>
      </c>
    </row>
    <row r="109" spans="2:15" ht="14" customHeight="1" x14ac:dyDescent="0.25">
      <c r="B109" s="15" t="s">
        <v>85</v>
      </c>
      <c r="C109" s="23">
        <v>2077739</v>
      </c>
      <c r="D109" s="23">
        <v>1257634</v>
      </c>
      <c r="E109" s="23">
        <v>1579263</v>
      </c>
      <c r="F109" s="23">
        <v>1043874</v>
      </c>
      <c r="G109" s="23">
        <v>1354017</v>
      </c>
      <c r="H109" s="23">
        <v>1943778</v>
      </c>
      <c r="I109" s="23">
        <v>1817840</v>
      </c>
      <c r="J109" s="23">
        <v>1873681</v>
      </c>
      <c r="K109" s="23">
        <v>1922738</v>
      </c>
      <c r="L109" s="23">
        <v>1842762</v>
      </c>
      <c r="M109" s="23">
        <v>1652847</v>
      </c>
      <c r="N109" s="23">
        <v>2170277</v>
      </c>
      <c r="O109" s="23">
        <f>SUM(C109:N109)</f>
        <v>20536450</v>
      </c>
    </row>
    <row r="110" spans="2:15" ht="14" customHeight="1" x14ac:dyDescent="0.25">
      <c r="B110" s="15" t="s">
        <v>86</v>
      </c>
      <c r="C110" s="25">
        <f t="shared" ref="C110:O110" si="15">C107/C109</f>
        <v>0.16957327171507106</v>
      </c>
      <c r="D110" s="25">
        <f t="shared" si="15"/>
        <v>0.21677530982781953</v>
      </c>
      <c r="E110" s="25">
        <f t="shared" si="15"/>
        <v>0.28155854977923245</v>
      </c>
      <c r="F110" s="25">
        <f t="shared" si="15"/>
        <v>0.27061407794427295</v>
      </c>
      <c r="G110" s="25">
        <f t="shared" si="15"/>
        <v>0.26550700618973028</v>
      </c>
      <c r="H110" s="26">
        <f t="shared" si="15"/>
        <v>0.27342217063882812</v>
      </c>
      <c r="I110" s="26">
        <f t="shared" si="15"/>
        <v>0.26737446639968315</v>
      </c>
      <c r="J110" s="26">
        <f t="shared" si="15"/>
        <v>0.28263348990569898</v>
      </c>
      <c r="K110" s="26">
        <f t="shared" si="15"/>
        <v>0.31769955136893324</v>
      </c>
      <c r="L110" s="26">
        <f t="shared" si="15"/>
        <v>0.30099600491002093</v>
      </c>
      <c r="M110" s="26">
        <f t="shared" si="15"/>
        <v>0.36186228973401652</v>
      </c>
      <c r="N110" s="26">
        <f t="shared" si="15"/>
        <v>0.29492087876340212</v>
      </c>
      <c r="O110" s="25">
        <f t="shared" si="15"/>
        <v>0.27572228890582356</v>
      </c>
    </row>
    <row r="111" spans="2:15" ht="14" customHeight="1" x14ac:dyDescent="0.25"/>
    <row r="112" spans="2:15" ht="14" customHeight="1" x14ac:dyDescent="0.25">
      <c r="B112" s="98"/>
      <c r="C112" s="8"/>
      <c r="D112" s="8"/>
      <c r="E112" s="8"/>
      <c r="F112" s="8"/>
      <c r="G112" s="8"/>
      <c r="H112" s="36"/>
      <c r="I112" s="8"/>
      <c r="J112" s="8"/>
      <c r="K112" s="8"/>
      <c r="L112" s="8"/>
      <c r="M112" s="8"/>
      <c r="N112" s="8"/>
      <c r="O112" s="37"/>
    </row>
    <row r="113" ht="14" customHeight="1" x14ac:dyDescent="0.25"/>
    <row r="114" ht="14" customHeight="1" x14ac:dyDescent="0.25"/>
    <row r="115" ht="14" customHeight="1" x14ac:dyDescent="0.25"/>
    <row r="116" ht="14" customHeight="1" x14ac:dyDescent="0.25"/>
    <row r="117" ht="14" customHeight="1" x14ac:dyDescent="0.25"/>
    <row r="118" ht="14" customHeight="1" x14ac:dyDescent="0.25"/>
    <row r="119" ht="14" customHeight="1" x14ac:dyDescent="0.25"/>
    <row r="120" ht="14" customHeight="1" x14ac:dyDescent="0.25"/>
    <row r="121" ht="14" customHeight="1" x14ac:dyDescent="0.25"/>
    <row r="122" ht="14" customHeight="1" x14ac:dyDescent="0.25"/>
    <row r="123" ht="14" customHeight="1" x14ac:dyDescent="0.25"/>
    <row r="124" ht="14" customHeight="1" x14ac:dyDescent="0.25"/>
    <row r="125" ht="14" customHeight="1" x14ac:dyDescent="0.25"/>
    <row r="126" ht="14" customHeight="1" x14ac:dyDescent="0.25"/>
    <row r="127" ht="14" customHeight="1" x14ac:dyDescent="0.25"/>
    <row r="128" ht="14" customHeight="1" x14ac:dyDescent="0.25"/>
    <row r="129" ht="14" customHeight="1" x14ac:dyDescent="0.25"/>
    <row r="130" s="206" customFormat="1" ht="14" customHeight="1" x14ac:dyDescent="0.25"/>
    <row r="131" s="206" customFormat="1" ht="14" customHeight="1" x14ac:dyDescent="0.25"/>
    <row r="132" s="206" customFormat="1" ht="14" customHeight="1" x14ac:dyDescent="0.25"/>
    <row r="133" s="206" customFormat="1" ht="14" customHeight="1" x14ac:dyDescent="0.25"/>
    <row r="134" s="206" customFormat="1" ht="14" customHeight="1" x14ac:dyDescent="0.25"/>
    <row r="135" s="206" customFormat="1" ht="14" customHeight="1" x14ac:dyDescent="0.25"/>
    <row r="136" ht="14" customHeight="1" x14ac:dyDescent="0.25"/>
    <row r="137" ht="14" customHeight="1" x14ac:dyDescent="0.25"/>
    <row r="138" ht="14" customHeight="1" x14ac:dyDescent="0.25"/>
    <row r="139" ht="14" customHeight="1" x14ac:dyDescent="0.25"/>
    <row r="140" ht="14" customHeight="1" x14ac:dyDescent="0.25"/>
    <row r="141" ht="14" customHeight="1" x14ac:dyDescent="0.25"/>
    <row r="142" ht="14" customHeight="1" x14ac:dyDescent="0.25"/>
    <row r="143" ht="14" customHeight="1" x14ac:dyDescent="0.25"/>
    <row r="144" ht="14" customHeight="1" x14ac:dyDescent="0.25"/>
    <row r="145" ht="14" customHeight="1" x14ac:dyDescent="0.25"/>
    <row r="146" ht="14" customHeight="1" x14ac:dyDescent="0.25"/>
    <row r="147" ht="14" customHeight="1" x14ac:dyDescent="0.25"/>
    <row r="148" ht="14" customHeight="1" x14ac:dyDescent="0.25"/>
    <row r="149" ht="14" customHeight="1" x14ac:dyDescent="0.25"/>
    <row r="150" ht="14" customHeight="1" x14ac:dyDescent="0.25"/>
    <row r="151" ht="14" customHeight="1" x14ac:dyDescent="0.25"/>
    <row r="152" ht="14" customHeight="1" x14ac:dyDescent="0.25"/>
    <row r="153" ht="14" customHeight="1" x14ac:dyDescent="0.25"/>
    <row r="154" ht="14" customHeight="1" x14ac:dyDescent="0.25"/>
    <row r="155" ht="14" customHeight="1" x14ac:dyDescent="0.25"/>
    <row r="156" ht="14" customHeight="1" x14ac:dyDescent="0.25"/>
    <row r="157" ht="14" customHeight="1" x14ac:dyDescent="0.25"/>
    <row r="158" ht="14" customHeight="1" x14ac:dyDescent="0.25"/>
    <row r="159" ht="14" customHeight="1" x14ac:dyDescent="0.25"/>
    <row r="160" ht="14" customHeight="1" x14ac:dyDescent="0.25"/>
    <row r="161" ht="14" customHeight="1" x14ac:dyDescent="0.25"/>
  </sheetData>
  <sortState xmlns:xlrd2="http://schemas.microsoft.com/office/spreadsheetml/2017/richdata2" ref="B3:G18">
    <sortCondition descending="1" ref="G3:G18"/>
  </sortState>
  <phoneticPr fontId="17" type="noConversion"/>
  <pageMargins left="0.7" right="0.7" top="0.75" bottom="0.75" header="0.3" footer="0.3"/>
  <pageSetup paperSize="9" orientation="portrait" horizontalDpi="1200" verticalDpi="1200"/>
  <ignoredErrors>
    <ignoredError sqref="C106:O107 C111:O111 C109:O110 C108:N108 C112:O149 C40:O41 C43:O44 C42:N42 C62:O63 C64:N64 C84:O85 C86:N86" formulaRange="1"/>
    <ignoredError sqref="O108 O42 O64 O86" formula="1" formulaRange="1"/>
  </ignoredErrors>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EDC0-8DAC-4AEA-B14C-C9A4B3D99C86}">
  <dimension ref="B1:P167"/>
  <sheetViews>
    <sheetView topLeftCell="A33" zoomScale="80" zoomScaleNormal="80" workbookViewId="0">
      <selection activeCell="G53" sqref="G53"/>
    </sheetView>
  </sheetViews>
  <sheetFormatPr defaultColWidth="8.69921875" defaultRowHeight="11.55" x14ac:dyDescent="0.25"/>
  <cols>
    <col min="1" max="1" width="5.69921875" style="148" customWidth="1"/>
    <col min="2" max="2" width="20" style="148" customWidth="1"/>
    <col min="3" max="16384" width="8.69921875" style="148"/>
  </cols>
  <sheetData>
    <row r="1" spans="2:16" ht="14" customHeight="1" x14ac:dyDescent="0.25">
      <c r="B1" s="98"/>
      <c r="C1" s="8"/>
      <c r="D1" s="8"/>
      <c r="E1" s="8"/>
      <c r="F1" s="8"/>
      <c r="G1" s="8"/>
      <c r="H1" s="8"/>
      <c r="I1" s="8"/>
      <c r="J1" s="8"/>
      <c r="K1" s="8"/>
      <c r="L1" s="8"/>
      <c r="M1" s="8"/>
      <c r="N1" s="8"/>
      <c r="O1" s="9"/>
      <c r="P1" s="203"/>
    </row>
    <row r="2" spans="2:16" ht="14" customHeight="1" x14ac:dyDescent="0.25">
      <c r="B2" s="215" t="s">
        <v>187</v>
      </c>
      <c r="C2" s="10" t="s">
        <v>23</v>
      </c>
      <c r="D2" s="10" t="s">
        <v>24</v>
      </c>
      <c r="E2" s="10" t="s">
        <v>25</v>
      </c>
      <c r="F2" s="10" t="s">
        <v>26</v>
      </c>
      <c r="G2" s="10" t="s">
        <v>38</v>
      </c>
      <c r="H2" s="203"/>
      <c r="I2" s="203"/>
      <c r="J2" s="203"/>
      <c r="K2" s="203"/>
      <c r="L2" s="203"/>
      <c r="M2" s="203"/>
      <c r="N2" s="203"/>
      <c r="O2" s="203"/>
      <c r="P2" s="203"/>
    </row>
    <row r="3" spans="2:16" ht="14" customHeight="1" x14ac:dyDescent="0.25">
      <c r="B3" s="16" t="s">
        <v>39</v>
      </c>
      <c r="C3" s="11">
        <v>30</v>
      </c>
      <c r="D3" s="11">
        <v>40.700000000000003</v>
      </c>
      <c r="E3" s="11">
        <v>83.5</v>
      </c>
      <c r="F3" s="11">
        <v>90.7</v>
      </c>
      <c r="G3" s="17">
        <v>244.9</v>
      </c>
      <c r="H3" s="203"/>
      <c r="I3" s="203"/>
      <c r="J3" s="203"/>
      <c r="K3" s="203"/>
      <c r="L3" s="203"/>
      <c r="M3" s="203"/>
      <c r="N3" s="203"/>
      <c r="O3" s="203"/>
      <c r="P3" s="203"/>
    </row>
    <row r="4" spans="2:16" ht="14" customHeight="1" x14ac:dyDescent="0.25">
      <c r="B4" s="16" t="s">
        <v>40</v>
      </c>
      <c r="C4" s="11">
        <v>63</v>
      </c>
      <c r="D4" s="11">
        <v>95.2</v>
      </c>
      <c r="E4" s="11">
        <v>97</v>
      </c>
      <c r="F4" s="11">
        <v>112</v>
      </c>
      <c r="G4" s="17">
        <v>367.2</v>
      </c>
      <c r="H4" s="203"/>
      <c r="I4" s="203"/>
      <c r="J4" s="203"/>
      <c r="K4" s="203"/>
      <c r="L4" s="203"/>
      <c r="M4" s="203"/>
      <c r="N4" s="203"/>
      <c r="O4" s="203"/>
      <c r="P4" s="203"/>
    </row>
    <row r="5" spans="2:16" ht="14" customHeight="1" x14ac:dyDescent="0.25">
      <c r="B5" s="16" t="s">
        <v>41</v>
      </c>
      <c r="C5" s="11">
        <v>88.4</v>
      </c>
      <c r="D5" s="11">
        <v>90.7</v>
      </c>
      <c r="E5" s="11">
        <v>139.30000000000001</v>
      </c>
      <c r="F5" s="11">
        <v>180.6</v>
      </c>
      <c r="G5" s="17">
        <v>499</v>
      </c>
      <c r="H5" s="203"/>
      <c r="I5" s="203"/>
      <c r="J5" s="203"/>
      <c r="K5" s="203"/>
      <c r="L5" s="203"/>
      <c r="M5" s="203"/>
      <c r="N5" s="203"/>
      <c r="O5" s="203"/>
      <c r="P5" s="203"/>
    </row>
    <row r="6" spans="2:16" ht="14" customHeight="1" x14ac:dyDescent="0.25">
      <c r="B6" s="16" t="s">
        <v>42</v>
      </c>
      <c r="C6" s="11">
        <v>184.8</v>
      </c>
      <c r="D6" s="11">
        <v>201.25</v>
      </c>
      <c r="E6" s="11">
        <v>241.3</v>
      </c>
      <c r="F6" s="11">
        <v>308.60000000000002</v>
      </c>
      <c r="G6" s="17">
        <v>936.17200000000003</v>
      </c>
      <c r="H6" s="203"/>
      <c r="I6" s="203"/>
      <c r="J6" s="203"/>
      <c r="K6" s="203"/>
      <c r="L6" s="203"/>
      <c r="M6" s="203"/>
      <c r="N6" s="203"/>
      <c r="O6" s="203"/>
      <c r="P6" s="203"/>
    </row>
    <row r="7" spans="2:16" ht="14" customHeight="1" x14ac:dyDescent="0.25">
      <c r="B7" s="16" t="s">
        <v>43</v>
      </c>
      <c r="C7" s="11">
        <v>310.048</v>
      </c>
      <c r="D7" s="11">
        <v>254.7</v>
      </c>
      <c r="E7" s="11">
        <v>343.8</v>
      </c>
      <c r="F7" s="11">
        <v>405.3</v>
      </c>
      <c r="G7" s="17">
        <f>SUM(C7:F7)</f>
        <v>1313.848</v>
      </c>
      <c r="H7" s="203"/>
      <c r="I7" s="203"/>
      <c r="J7" s="203"/>
      <c r="K7" s="203"/>
      <c r="L7" s="203"/>
      <c r="M7" s="203"/>
      <c r="N7" s="203"/>
      <c r="O7" s="203"/>
      <c r="P7" s="203"/>
    </row>
    <row r="8" spans="2:16" ht="14" customHeight="1" x14ac:dyDescent="0.25">
      <c r="B8" s="16" t="s">
        <v>44</v>
      </c>
      <c r="C8" s="11">
        <v>422.875</v>
      </c>
      <c r="D8" s="11">
        <v>466</v>
      </c>
      <c r="E8" s="11">
        <v>435.1</v>
      </c>
      <c r="F8" s="11">
        <v>484</v>
      </c>
      <c r="G8" s="17">
        <f>SUM(C8:F8)</f>
        <v>1807.9749999999999</v>
      </c>
      <c r="H8" s="203"/>
      <c r="I8" s="203"/>
      <c r="J8" s="203"/>
      <c r="K8" s="203"/>
      <c r="L8" s="203"/>
      <c r="M8" s="203"/>
      <c r="N8" s="203"/>
      <c r="O8" s="203"/>
      <c r="P8" s="203"/>
    </row>
    <row r="9" spans="2:16" ht="14" customHeight="1" x14ac:dyDescent="0.25">
      <c r="B9" s="16" t="s">
        <v>45</v>
      </c>
      <c r="C9" s="11">
        <v>387</v>
      </c>
      <c r="D9" s="11">
        <v>444</v>
      </c>
      <c r="E9" s="11">
        <v>463</v>
      </c>
      <c r="F9" s="11">
        <v>495.6</v>
      </c>
      <c r="G9" s="17">
        <f>SUM(C9:F9)</f>
        <v>1789.6</v>
      </c>
      <c r="H9" s="203"/>
      <c r="I9" s="203"/>
      <c r="J9" s="203"/>
      <c r="K9" s="203"/>
      <c r="L9" s="203"/>
      <c r="M9" s="203"/>
      <c r="N9" s="203"/>
      <c r="O9" s="203"/>
      <c r="P9" s="203"/>
    </row>
    <row r="10" spans="2:16" ht="14" customHeight="1" x14ac:dyDescent="0.25">
      <c r="B10" s="16" t="s">
        <v>46</v>
      </c>
      <c r="C10" s="11">
        <v>336.68099999999998</v>
      </c>
      <c r="D10" s="11">
        <v>384.12200000000001</v>
      </c>
      <c r="E10" s="11">
        <v>497.09899999999999</v>
      </c>
      <c r="F10" s="11">
        <v>418.22699999999998</v>
      </c>
      <c r="G10" s="17">
        <f>SUM(C10:F10)</f>
        <v>1636.1289999999999</v>
      </c>
      <c r="H10" s="203"/>
      <c r="I10" s="203"/>
      <c r="J10" s="203"/>
      <c r="K10" s="203"/>
      <c r="L10" s="203"/>
      <c r="M10" s="203"/>
      <c r="N10" s="203"/>
      <c r="O10" s="203"/>
      <c r="P10" s="203"/>
    </row>
    <row r="11" spans="2:16" ht="14" customHeight="1" x14ac:dyDescent="0.25">
      <c r="B11" s="16" t="s">
        <v>216</v>
      </c>
      <c r="C11" s="11">
        <v>358.02300000000002</v>
      </c>
      <c r="D11" s="11"/>
      <c r="E11" s="11"/>
      <c r="F11" s="11"/>
      <c r="G11" s="17"/>
      <c r="H11" s="203"/>
      <c r="I11" s="203"/>
      <c r="J11" s="203"/>
      <c r="K11" s="203"/>
      <c r="L11" s="203"/>
      <c r="M11" s="203"/>
      <c r="N11" s="203"/>
      <c r="O11" s="203"/>
      <c r="P11" s="203"/>
    </row>
    <row r="12" spans="2:16" ht="14" customHeight="1" x14ac:dyDescent="0.25">
      <c r="B12" s="11" t="s">
        <v>47</v>
      </c>
      <c r="C12" s="12">
        <f>C11/C10-1</f>
        <v>6.3389380452119504E-2</v>
      </c>
      <c r="D12" s="12"/>
      <c r="E12" s="12"/>
      <c r="F12" s="12"/>
      <c r="G12" s="13"/>
      <c r="H12" s="203"/>
      <c r="I12" s="203"/>
      <c r="J12" s="203"/>
      <c r="K12" s="203"/>
      <c r="L12" s="203"/>
      <c r="M12" s="203"/>
      <c r="N12" s="203"/>
      <c r="O12" s="203"/>
      <c r="P12" s="203"/>
    </row>
    <row r="13" spans="2:16" ht="14" customHeight="1" x14ac:dyDescent="0.25">
      <c r="B13" s="11" t="s">
        <v>48</v>
      </c>
      <c r="C13" s="12">
        <f>C11/F10-1</f>
        <v>-0.14395053404012648</v>
      </c>
      <c r="D13" s="12"/>
      <c r="E13" s="12"/>
      <c r="F13" s="12"/>
      <c r="G13" s="12"/>
      <c r="H13" s="203"/>
      <c r="I13" s="203"/>
      <c r="J13" s="203"/>
      <c r="K13" s="203"/>
      <c r="L13" s="203"/>
      <c r="M13" s="203"/>
      <c r="N13" s="203"/>
      <c r="O13" s="203"/>
      <c r="P13" s="203"/>
    </row>
    <row r="14" spans="2:16" ht="14" customHeight="1" x14ac:dyDescent="0.25">
      <c r="B14" s="205" t="s">
        <v>67</v>
      </c>
      <c r="C14" s="203"/>
      <c r="D14" s="99"/>
      <c r="E14" s="203"/>
      <c r="F14" s="203"/>
      <c r="G14" s="203"/>
      <c r="H14" s="203"/>
      <c r="I14" s="203"/>
      <c r="J14" s="203"/>
      <c r="K14" s="203"/>
      <c r="L14" s="203"/>
      <c r="M14" s="203"/>
      <c r="N14" s="203"/>
      <c r="O14" s="203"/>
      <c r="P14" s="203"/>
    </row>
    <row r="15" spans="2:16" ht="14" customHeight="1" x14ac:dyDescent="0.25">
      <c r="B15" s="11"/>
      <c r="C15" s="203"/>
      <c r="D15" s="203"/>
      <c r="E15" s="203"/>
      <c r="F15" s="203"/>
      <c r="G15" s="203"/>
      <c r="H15" s="203"/>
      <c r="I15" s="203"/>
      <c r="J15" s="203"/>
      <c r="K15" s="203"/>
      <c r="L15" s="203"/>
      <c r="M15" s="203"/>
      <c r="N15" s="203"/>
      <c r="O15" s="203"/>
      <c r="P15" s="203"/>
    </row>
    <row r="16" spans="2:16" ht="14" customHeight="1" x14ac:dyDescent="0.25">
      <c r="B16" s="10" t="s">
        <v>189</v>
      </c>
      <c r="C16" s="10" t="s">
        <v>49</v>
      </c>
      <c r="D16" s="10" t="s">
        <v>50</v>
      </c>
      <c r="E16" s="10" t="s">
        <v>51</v>
      </c>
      <c r="F16" s="10" t="s">
        <v>52</v>
      </c>
      <c r="G16" s="10" t="s">
        <v>53</v>
      </c>
      <c r="H16" s="10" t="s">
        <v>54</v>
      </c>
      <c r="I16" s="10" t="s">
        <v>55</v>
      </c>
      <c r="J16" s="10" t="s">
        <v>56</v>
      </c>
      <c r="K16" s="10" t="s">
        <v>57</v>
      </c>
      <c r="L16" s="10" t="s">
        <v>58</v>
      </c>
      <c r="M16" s="10" t="s">
        <v>59</v>
      </c>
      <c r="N16" s="10" t="s">
        <v>60</v>
      </c>
      <c r="O16" s="10" t="s">
        <v>38</v>
      </c>
      <c r="P16" s="10" t="s">
        <v>61</v>
      </c>
    </row>
    <row r="17" spans="2:16" ht="14" customHeight="1" x14ac:dyDescent="0.25">
      <c r="B17" s="11" t="s">
        <v>62</v>
      </c>
      <c r="C17" s="100">
        <v>0</v>
      </c>
      <c r="D17" s="100">
        <v>3900</v>
      </c>
      <c r="E17" s="100">
        <v>10160</v>
      </c>
      <c r="F17" s="100">
        <v>3635</v>
      </c>
      <c r="G17" s="100">
        <v>11095</v>
      </c>
      <c r="H17" s="100">
        <v>14954</v>
      </c>
      <c r="I17" s="100">
        <v>11014</v>
      </c>
      <c r="J17" s="100">
        <v>11811</v>
      </c>
      <c r="K17" s="100">
        <v>11329</v>
      </c>
      <c r="L17" s="100">
        <v>12143</v>
      </c>
      <c r="M17" s="100">
        <v>21604</v>
      </c>
      <c r="N17" s="100">
        <v>23804</v>
      </c>
      <c r="O17" s="100">
        <v>135449</v>
      </c>
      <c r="P17" s="203"/>
    </row>
    <row r="18" spans="2:16" ht="14" customHeight="1" x14ac:dyDescent="0.25">
      <c r="B18" s="10" t="s">
        <v>190</v>
      </c>
      <c r="C18" s="10" t="s">
        <v>49</v>
      </c>
      <c r="D18" s="10" t="s">
        <v>50</v>
      </c>
      <c r="E18" s="10" t="s">
        <v>51</v>
      </c>
      <c r="F18" s="10" t="s">
        <v>52</v>
      </c>
      <c r="G18" s="10" t="s">
        <v>53</v>
      </c>
      <c r="H18" s="10" t="s">
        <v>54</v>
      </c>
      <c r="I18" s="10" t="s">
        <v>55</v>
      </c>
      <c r="J18" s="10" t="s">
        <v>56</v>
      </c>
      <c r="K18" s="10" t="s">
        <v>57</v>
      </c>
      <c r="L18" s="10" t="s">
        <v>58</v>
      </c>
      <c r="M18" s="10" t="s">
        <v>59</v>
      </c>
      <c r="N18" s="10" t="s">
        <v>60</v>
      </c>
      <c r="O18" s="10" t="s">
        <v>38</v>
      </c>
      <c r="P18" s="10" t="s">
        <v>61</v>
      </c>
    </row>
    <row r="19" spans="2:16" ht="14" customHeight="1" x14ac:dyDescent="0.25">
      <c r="B19" s="14" t="s">
        <v>63</v>
      </c>
      <c r="C19" s="18">
        <v>15484</v>
      </c>
      <c r="D19" s="18">
        <v>18318</v>
      </c>
      <c r="E19" s="18">
        <v>35478</v>
      </c>
      <c r="F19" s="18">
        <v>25845</v>
      </c>
      <c r="G19" s="18">
        <v>33463</v>
      </c>
      <c r="H19" s="18">
        <v>33155</v>
      </c>
      <c r="I19" s="18">
        <v>32968</v>
      </c>
      <c r="J19" s="18">
        <v>44264</v>
      </c>
      <c r="K19" s="18">
        <v>56006</v>
      </c>
      <c r="L19" s="18">
        <v>54391</v>
      </c>
      <c r="M19" s="18">
        <v>52859</v>
      </c>
      <c r="N19" s="18">
        <v>70847</v>
      </c>
      <c r="O19" s="18">
        <f>SUM(C19:N19)</f>
        <v>473078</v>
      </c>
      <c r="P19" s="207"/>
    </row>
    <row r="20" spans="2:16" ht="14" customHeight="1" x14ac:dyDescent="0.25">
      <c r="B20" s="14" t="s">
        <v>64</v>
      </c>
      <c r="C20" s="18"/>
      <c r="D20" s="18"/>
      <c r="E20" s="18"/>
      <c r="F20" s="18">
        <v>14174</v>
      </c>
      <c r="G20" s="18">
        <v>11527</v>
      </c>
      <c r="H20" s="18">
        <v>5017</v>
      </c>
      <c r="I20" s="18">
        <v>24374</v>
      </c>
      <c r="J20" s="18">
        <v>31379</v>
      </c>
      <c r="K20" s="18">
        <v>3853</v>
      </c>
      <c r="L20" s="18">
        <v>40666</v>
      </c>
      <c r="M20" s="18">
        <v>21127</v>
      </c>
      <c r="N20" s="18">
        <v>245</v>
      </c>
      <c r="O20" s="18">
        <f>SUM(C20:N20)</f>
        <v>152362</v>
      </c>
      <c r="P20" s="207"/>
    </row>
    <row r="21" spans="2:16" ht="14" customHeight="1" x14ac:dyDescent="0.25">
      <c r="B21" s="14" t="s">
        <v>65</v>
      </c>
      <c r="C21" s="18">
        <f t="shared" ref="C21:N21" si="0">C22+C23</f>
        <v>13843</v>
      </c>
      <c r="D21" s="18">
        <f t="shared" si="0"/>
        <v>18318</v>
      </c>
      <c r="E21" s="18">
        <f t="shared" si="0"/>
        <v>35503</v>
      </c>
      <c r="F21" s="18">
        <f t="shared" si="0"/>
        <v>25845</v>
      </c>
      <c r="G21" s="18">
        <f t="shared" si="0"/>
        <v>33463</v>
      </c>
      <c r="H21" s="18">
        <f t="shared" si="0"/>
        <v>33155</v>
      </c>
      <c r="I21" s="18">
        <f t="shared" si="0"/>
        <v>32968</v>
      </c>
      <c r="J21" s="18">
        <f t="shared" si="0"/>
        <v>44264</v>
      </c>
      <c r="K21" s="18">
        <f t="shared" si="0"/>
        <v>56006</v>
      </c>
      <c r="L21" s="18">
        <f t="shared" si="0"/>
        <v>54391</v>
      </c>
      <c r="M21" s="18">
        <f t="shared" si="0"/>
        <v>52859</v>
      </c>
      <c r="N21" s="18">
        <f t="shared" si="0"/>
        <v>70847</v>
      </c>
      <c r="O21" s="18">
        <f>O19-O20</f>
        <v>320716</v>
      </c>
      <c r="P21" s="207"/>
    </row>
    <row r="22" spans="2:16" ht="14" customHeight="1" x14ac:dyDescent="0.25">
      <c r="B22" s="101" t="s">
        <v>27</v>
      </c>
      <c r="C22" s="102">
        <v>0</v>
      </c>
      <c r="D22" s="102">
        <v>4630</v>
      </c>
      <c r="E22" s="102">
        <v>10151</v>
      </c>
      <c r="F22" s="102">
        <v>5407</v>
      </c>
      <c r="G22" s="102">
        <v>12728</v>
      </c>
      <c r="H22" s="102">
        <v>11623</v>
      </c>
      <c r="I22" s="102">
        <v>10354</v>
      </c>
      <c r="J22" s="102">
        <v>17198</v>
      </c>
      <c r="K22" s="102">
        <v>33544</v>
      </c>
      <c r="L22" s="102">
        <v>25538</v>
      </c>
      <c r="M22" s="102">
        <v>26759</v>
      </c>
      <c r="N22" s="102">
        <v>40558</v>
      </c>
      <c r="O22" s="102">
        <f>SUM(C22:N22)</f>
        <v>198490</v>
      </c>
      <c r="P22" s="208"/>
    </row>
    <row r="23" spans="2:16" ht="14" customHeight="1" x14ac:dyDescent="0.25">
      <c r="B23" s="101" t="s">
        <v>28</v>
      </c>
      <c r="C23" s="102">
        <v>13843</v>
      </c>
      <c r="D23" s="102">
        <v>13688</v>
      </c>
      <c r="E23" s="102">
        <v>25352</v>
      </c>
      <c r="F23" s="102">
        <v>20438</v>
      </c>
      <c r="G23" s="102">
        <v>20735</v>
      </c>
      <c r="H23" s="102">
        <v>21532</v>
      </c>
      <c r="I23" s="102">
        <v>22614</v>
      </c>
      <c r="J23" s="102">
        <v>27066</v>
      </c>
      <c r="K23" s="102">
        <v>22462</v>
      </c>
      <c r="L23" s="102">
        <v>28853</v>
      </c>
      <c r="M23" s="102">
        <v>26100</v>
      </c>
      <c r="N23" s="102">
        <v>30289</v>
      </c>
      <c r="O23" s="102">
        <f>SUM(C23:N23)</f>
        <v>272972</v>
      </c>
      <c r="P23" s="208"/>
    </row>
    <row r="24" spans="2:16" ht="14" customHeight="1" x14ac:dyDescent="0.25">
      <c r="B24" s="10" t="s">
        <v>191</v>
      </c>
      <c r="C24" s="10" t="s">
        <v>49</v>
      </c>
      <c r="D24" s="10" t="s">
        <v>50</v>
      </c>
      <c r="E24" s="10" t="s">
        <v>51</v>
      </c>
      <c r="F24" s="10" t="s">
        <v>52</v>
      </c>
      <c r="G24" s="10" t="s">
        <v>53</v>
      </c>
      <c r="H24" s="10" t="s">
        <v>54</v>
      </c>
      <c r="I24" s="10" t="s">
        <v>55</v>
      </c>
      <c r="J24" s="10" t="s">
        <v>56</v>
      </c>
      <c r="K24" s="10" t="s">
        <v>57</v>
      </c>
      <c r="L24" s="10" t="s">
        <v>58</v>
      </c>
      <c r="M24" s="10" t="s">
        <v>59</v>
      </c>
      <c r="N24" s="10" t="s">
        <v>60</v>
      </c>
      <c r="O24" s="10" t="s">
        <v>38</v>
      </c>
      <c r="P24" s="10" t="s">
        <v>61</v>
      </c>
    </row>
    <row r="25" spans="2:16" ht="14" customHeight="1" x14ac:dyDescent="0.25">
      <c r="B25" s="14" t="s">
        <v>63</v>
      </c>
      <c r="C25" s="18">
        <v>59845</v>
      </c>
      <c r="D25" s="18">
        <v>56515</v>
      </c>
      <c r="E25" s="18">
        <v>65814</v>
      </c>
      <c r="F25" s="18">
        <v>1512</v>
      </c>
      <c r="G25" s="18">
        <v>32165</v>
      </c>
      <c r="H25" s="18">
        <v>78906</v>
      </c>
      <c r="I25" s="18">
        <v>28217</v>
      </c>
      <c r="J25" s="18">
        <v>76965</v>
      </c>
      <c r="K25" s="18">
        <v>83135</v>
      </c>
      <c r="L25" s="18">
        <v>71700</v>
      </c>
      <c r="M25" s="18">
        <v>100291</v>
      </c>
      <c r="N25" s="18">
        <v>55796</v>
      </c>
      <c r="O25" s="18">
        <f>SUM(C25:N25)</f>
        <v>710861</v>
      </c>
      <c r="P25" s="103">
        <f>O25/O19-1</f>
        <v>0.50262958750988207</v>
      </c>
    </row>
    <row r="26" spans="2:16" ht="14" customHeight="1" x14ac:dyDescent="0.25">
      <c r="B26" s="14" t="s">
        <v>64</v>
      </c>
      <c r="C26" s="18">
        <v>40499</v>
      </c>
      <c r="D26" s="19">
        <v>33315</v>
      </c>
      <c r="E26" s="19">
        <v>60</v>
      </c>
      <c r="F26" s="18">
        <v>0</v>
      </c>
      <c r="G26" s="18">
        <v>22340</v>
      </c>
      <c r="H26" s="18">
        <v>968</v>
      </c>
      <c r="I26" s="18">
        <v>19756</v>
      </c>
      <c r="J26" s="18">
        <v>42463</v>
      </c>
      <c r="K26" s="18">
        <v>5522</v>
      </c>
      <c r="L26" s="18">
        <v>54500</v>
      </c>
      <c r="M26" s="18">
        <v>37798</v>
      </c>
      <c r="N26" s="18">
        <v>13870</v>
      </c>
      <c r="O26" s="18">
        <f>SUM(C26:N26)</f>
        <v>271091</v>
      </c>
      <c r="P26" s="20">
        <f>O26/O20-1</f>
        <v>0.77925598246281891</v>
      </c>
    </row>
    <row r="27" spans="2:16" ht="14" customHeight="1" x14ac:dyDescent="0.25">
      <c r="B27" s="14" t="s">
        <v>65</v>
      </c>
      <c r="C27" s="18">
        <f>C25-C26</f>
        <v>19346</v>
      </c>
      <c r="D27" s="18">
        <f>D25-D26</f>
        <v>23200</v>
      </c>
      <c r="E27" s="18">
        <f>E25-E26</f>
        <v>65754</v>
      </c>
      <c r="F27" s="18">
        <f>F28+F29</f>
        <v>1512</v>
      </c>
      <c r="G27" s="18">
        <f>G28+G29</f>
        <v>9825</v>
      </c>
      <c r="H27" s="18">
        <f>H28+H29</f>
        <v>77938</v>
      </c>
      <c r="I27" s="18">
        <f>I28+I29</f>
        <v>8461</v>
      </c>
      <c r="J27" s="18">
        <f>J25-J26</f>
        <v>34502</v>
      </c>
      <c r="K27" s="18">
        <f>K25-K26</f>
        <v>77613</v>
      </c>
      <c r="L27" s="18">
        <f>L25-L26</f>
        <v>17200</v>
      </c>
      <c r="M27" s="18">
        <f>M25-M26</f>
        <v>62493</v>
      </c>
      <c r="N27" s="18">
        <v>41926</v>
      </c>
      <c r="O27" s="18">
        <f>SUM(C27:N27)</f>
        <v>439770</v>
      </c>
      <c r="P27" s="20">
        <f>O27/O21-1</f>
        <v>0.37121316055326203</v>
      </c>
    </row>
    <row r="28" spans="2:16" ht="14" customHeight="1" x14ac:dyDescent="0.25">
      <c r="B28" s="104" t="s">
        <v>27</v>
      </c>
      <c r="C28" s="102">
        <v>33297</v>
      </c>
      <c r="D28" s="102">
        <v>32403</v>
      </c>
      <c r="E28" s="102">
        <v>39730</v>
      </c>
      <c r="F28" s="102">
        <v>960</v>
      </c>
      <c r="G28" s="102">
        <v>5875</v>
      </c>
      <c r="H28" s="102">
        <v>52150</v>
      </c>
      <c r="I28" s="102">
        <v>7640</v>
      </c>
      <c r="J28" s="102">
        <v>31112</v>
      </c>
      <c r="K28" s="102">
        <v>46694</v>
      </c>
      <c r="L28" s="102">
        <v>14391</v>
      </c>
      <c r="M28" s="102">
        <v>52424</v>
      </c>
      <c r="N28" s="102">
        <v>29387</v>
      </c>
      <c r="O28" s="102">
        <f>SUM(C28:N28)</f>
        <v>346063</v>
      </c>
      <c r="P28" s="105">
        <f>O28/O22-1</f>
        <v>0.74347826086956514</v>
      </c>
    </row>
    <row r="29" spans="2:16" ht="14" customHeight="1" x14ac:dyDescent="0.25">
      <c r="B29" s="104" t="s">
        <v>28</v>
      </c>
      <c r="C29" s="102">
        <v>26548</v>
      </c>
      <c r="D29" s="102">
        <v>24112</v>
      </c>
      <c r="E29" s="102">
        <v>26024</v>
      </c>
      <c r="F29" s="102">
        <v>552</v>
      </c>
      <c r="G29" s="102">
        <v>3950</v>
      </c>
      <c r="H29" s="102">
        <v>25788</v>
      </c>
      <c r="I29" s="102">
        <v>821</v>
      </c>
      <c r="J29" s="102">
        <v>3390</v>
      </c>
      <c r="K29" s="102">
        <v>30919</v>
      </c>
      <c r="L29" s="102">
        <v>2809</v>
      </c>
      <c r="M29" s="102">
        <v>10069</v>
      </c>
      <c r="N29" s="102">
        <v>12539</v>
      </c>
      <c r="O29" s="102">
        <f>SUM(C29:N29)</f>
        <v>167521</v>
      </c>
      <c r="P29" s="105">
        <f>O29/O23-1</f>
        <v>-0.3863070205002711</v>
      </c>
    </row>
    <row r="30" spans="2:16" ht="14" customHeight="1" x14ac:dyDescent="0.25">
      <c r="B30" s="10" t="s">
        <v>192</v>
      </c>
      <c r="C30" s="10" t="s">
        <v>49</v>
      </c>
      <c r="D30" s="10" t="s">
        <v>50</v>
      </c>
      <c r="E30" s="10" t="s">
        <v>51</v>
      </c>
      <c r="F30" s="10" t="s">
        <v>52</v>
      </c>
      <c r="G30" s="10" t="s">
        <v>53</v>
      </c>
      <c r="H30" s="10" t="s">
        <v>54</v>
      </c>
      <c r="I30" s="10" t="s">
        <v>55</v>
      </c>
      <c r="J30" s="10" t="s">
        <v>56</v>
      </c>
      <c r="K30" s="10" t="s">
        <v>57</v>
      </c>
      <c r="L30" s="10" t="s">
        <v>58</v>
      </c>
      <c r="M30" s="10" t="s">
        <v>59</v>
      </c>
      <c r="N30" s="10" t="s">
        <v>60</v>
      </c>
      <c r="O30" s="10" t="s">
        <v>38</v>
      </c>
      <c r="P30" s="10" t="s">
        <v>61</v>
      </c>
    </row>
    <row r="31" spans="2:16" ht="14" customHeight="1" x14ac:dyDescent="0.25">
      <c r="B31" s="14" t="s">
        <v>63</v>
      </c>
      <c r="C31" s="18">
        <v>66051</v>
      </c>
      <c r="D31" s="18">
        <v>74402</v>
      </c>
      <c r="E31" s="18">
        <v>88869</v>
      </c>
      <c r="F31" s="21">
        <v>75842</v>
      </c>
      <c r="G31" s="18">
        <v>77695</v>
      </c>
      <c r="H31" s="18">
        <v>93680</v>
      </c>
      <c r="I31" s="18">
        <v>64285</v>
      </c>
      <c r="J31" s="18">
        <v>84159</v>
      </c>
      <c r="K31" s="18">
        <v>74073</v>
      </c>
      <c r="L31" s="21">
        <v>72115</v>
      </c>
      <c r="M31" s="18">
        <v>82432</v>
      </c>
      <c r="N31" s="18">
        <v>94139</v>
      </c>
      <c r="O31" s="18">
        <f>SUM(C31:N31)</f>
        <v>947742</v>
      </c>
      <c r="P31" s="103">
        <f>O31/O25-1</f>
        <v>0.33323110987942783</v>
      </c>
    </row>
    <row r="32" spans="2:16" ht="14" customHeight="1" x14ac:dyDescent="0.25">
      <c r="B32" s="14" t="s">
        <v>64</v>
      </c>
      <c r="C32" s="18">
        <v>39208</v>
      </c>
      <c r="D32" s="19">
        <v>40479</v>
      </c>
      <c r="E32" s="19">
        <v>12206</v>
      </c>
      <c r="F32" s="18">
        <v>35886</v>
      </c>
      <c r="G32" s="18">
        <v>35187</v>
      </c>
      <c r="H32" s="18">
        <v>19468</v>
      </c>
      <c r="I32" s="18">
        <v>32862</v>
      </c>
      <c r="J32" s="18">
        <v>19465</v>
      </c>
      <c r="K32" s="18">
        <v>30566</v>
      </c>
      <c r="L32" s="18">
        <v>43489</v>
      </c>
      <c r="M32" s="18">
        <v>16928</v>
      </c>
      <c r="N32" s="18">
        <v>18334</v>
      </c>
      <c r="O32" s="18">
        <f>SUM(C32:N32)</f>
        <v>344078</v>
      </c>
      <c r="P32" s="20">
        <f>O32/O26-1</f>
        <v>0.26923431615214088</v>
      </c>
    </row>
    <row r="33" spans="2:16" ht="14" customHeight="1" x14ac:dyDescent="0.25">
      <c r="B33" s="14" t="s">
        <v>65</v>
      </c>
      <c r="C33" s="18">
        <v>26843</v>
      </c>
      <c r="D33" s="18">
        <v>33923</v>
      </c>
      <c r="E33" s="18">
        <v>76663</v>
      </c>
      <c r="F33" s="18">
        <f>F31-F32</f>
        <v>39956</v>
      </c>
      <c r="G33" s="18">
        <f>G31-G32</f>
        <v>42508</v>
      </c>
      <c r="H33" s="18">
        <f>H31-H32</f>
        <v>74212</v>
      </c>
      <c r="I33" s="18">
        <f>I31-I32</f>
        <v>31423</v>
      </c>
      <c r="J33" s="18">
        <v>64694</v>
      </c>
      <c r="K33" s="18">
        <v>43507</v>
      </c>
      <c r="L33" s="18">
        <v>28626</v>
      </c>
      <c r="M33" s="18">
        <v>65504</v>
      </c>
      <c r="N33" s="18">
        <f>N31-N32</f>
        <v>75805</v>
      </c>
      <c r="O33" s="18">
        <f>SUM(C33:N33)</f>
        <v>603664</v>
      </c>
      <c r="P33" s="20">
        <f>O33/O27-1</f>
        <v>0.37268117425017633</v>
      </c>
    </row>
    <row r="34" spans="2:16" ht="14" customHeight="1" x14ac:dyDescent="0.25">
      <c r="B34" s="104" t="s">
        <v>27</v>
      </c>
      <c r="C34" s="102">
        <v>14184</v>
      </c>
      <c r="D34" s="102">
        <v>25526</v>
      </c>
      <c r="E34" s="102">
        <v>54937</v>
      </c>
      <c r="F34" s="102">
        <v>26760</v>
      </c>
      <c r="G34" s="102">
        <v>31054</v>
      </c>
      <c r="H34" s="102">
        <v>51471</v>
      </c>
      <c r="I34" s="102">
        <v>23632</v>
      </c>
      <c r="J34" s="102">
        <v>51117</v>
      </c>
      <c r="K34" s="102">
        <v>41428</v>
      </c>
      <c r="L34" s="102">
        <v>26353</v>
      </c>
      <c r="M34" s="102">
        <v>49877</v>
      </c>
      <c r="N34" s="102">
        <v>60055</v>
      </c>
      <c r="O34" s="102">
        <f>SUM(C34:N34)</f>
        <v>456394</v>
      </c>
      <c r="P34" s="105">
        <f>O34/O28-1</f>
        <v>0.31881767192678789</v>
      </c>
    </row>
    <row r="35" spans="2:16" ht="14" customHeight="1" x14ac:dyDescent="0.25">
      <c r="B35" s="104" t="s">
        <v>28</v>
      </c>
      <c r="C35" s="102">
        <v>12659</v>
      </c>
      <c r="D35" s="102">
        <v>8397</v>
      </c>
      <c r="E35" s="102">
        <v>21726</v>
      </c>
      <c r="F35" s="102">
        <v>13196</v>
      </c>
      <c r="G35" s="102">
        <v>11454</v>
      </c>
      <c r="H35" s="102">
        <v>22741</v>
      </c>
      <c r="I35" s="102">
        <v>7791</v>
      </c>
      <c r="J35" s="102">
        <v>13577</v>
      </c>
      <c r="K35" s="102">
        <v>2079</v>
      </c>
      <c r="L35" s="102">
        <v>2273</v>
      </c>
      <c r="M35" s="102">
        <v>15627</v>
      </c>
      <c r="N35" s="102">
        <v>15750</v>
      </c>
      <c r="O35" s="102">
        <f>SUM(C35:N35)</f>
        <v>147270</v>
      </c>
      <c r="P35" s="105">
        <f>O35/O29-1</f>
        <v>-0.12088633663839166</v>
      </c>
    </row>
    <row r="36" spans="2:16" ht="14" customHeight="1" x14ac:dyDescent="0.25">
      <c r="B36" s="10" t="s">
        <v>193</v>
      </c>
      <c r="C36" s="10" t="s">
        <v>49</v>
      </c>
      <c r="D36" s="10" t="s">
        <v>50</v>
      </c>
      <c r="E36" s="10" t="s">
        <v>51</v>
      </c>
      <c r="F36" s="10" t="s">
        <v>52</v>
      </c>
      <c r="G36" s="10" t="s">
        <v>53</v>
      </c>
      <c r="H36" s="10" t="s">
        <v>54</v>
      </c>
      <c r="I36" s="10" t="s">
        <v>55</v>
      </c>
      <c r="J36" s="10" t="s">
        <v>56</v>
      </c>
      <c r="K36" s="10" t="s">
        <v>57</v>
      </c>
      <c r="L36" s="10" t="s">
        <v>58</v>
      </c>
      <c r="M36" s="10" t="s">
        <v>59</v>
      </c>
      <c r="N36" s="10" t="s">
        <v>60</v>
      </c>
      <c r="O36" s="10" t="s">
        <v>38</v>
      </c>
      <c r="P36" s="10" t="s">
        <v>61</v>
      </c>
    </row>
    <row r="37" spans="2:16" ht="14" customHeight="1" x14ac:dyDescent="0.25">
      <c r="B37" s="14" t="s">
        <v>63</v>
      </c>
      <c r="C37" s="18">
        <v>71447</v>
      </c>
      <c r="D37" s="21">
        <v>60365</v>
      </c>
      <c r="E37" s="18">
        <v>89064</v>
      </c>
      <c r="F37" s="21">
        <v>62167</v>
      </c>
      <c r="G37" s="18">
        <v>72573</v>
      </c>
      <c r="H37" s="18">
        <v>71007</v>
      </c>
      <c r="I37" s="18">
        <v>74117</v>
      </c>
      <c r="J37" s="21">
        <v>86697</v>
      </c>
      <c r="K37" s="18">
        <v>88321</v>
      </c>
      <c r="L37" s="21">
        <v>62280</v>
      </c>
      <c r="M37" s="18">
        <v>78856</v>
      </c>
      <c r="N37" s="21">
        <v>93766</v>
      </c>
      <c r="O37" s="18">
        <f>SUM(C37:N37)</f>
        <v>910660</v>
      </c>
      <c r="P37" s="103">
        <f>O37/O31-1</f>
        <v>-3.9126682156114256E-2</v>
      </c>
    </row>
    <row r="38" spans="2:16" ht="14" customHeight="1" x14ac:dyDescent="0.25">
      <c r="B38" s="14" t="s">
        <v>64</v>
      </c>
      <c r="C38" s="18">
        <v>33716</v>
      </c>
      <c r="D38" s="19">
        <v>40479</v>
      </c>
      <c r="E38" s="19">
        <v>26666</v>
      </c>
      <c r="F38" s="18">
        <v>30746</v>
      </c>
      <c r="G38" s="18">
        <v>17358</v>
      </c>
      <c r="H38" s="18">
        <v>11746</v>
      </c>
      <c r="I38" s="18">
        <v>27890</v>
      </c>
      <c r="J38" s="18">
        <v>23241</v>
      </c>
      <c r="K38" s="18">
        <v>16121</v>
      </c>
      <c r="L38" s="18">
        <v>27795</v>
      </c>
      <c r="M38" s="18">
        <v>5366</v>
      </c>
      <c r="N38" s="18">
        <v>5366</v>
      </c>
      <c r="O38" s="18">
        <f>SUM(C38:N38)</f>
        <v>266490</v>
      </c>
      <c r="P38" s="20">
        <f>O38/O32-1</f>
        <v>-0.22549538186108964</v>
      </c>
    </row>
    <row r="39" spans="2:16" ht="14" customHeight="1" x14ac:dyDescent="0.25">
      <c r="B39" s="14" t="s">
        <v>65</v>
      </c>
      <c r="C39" s="18">
        <f>C37-C38</f>
        <v>37731</v>
      </c>
      <c r="D39" s="18">
        <f>D37-D38</f>
        <v>19886</v>
      </c>
      <c r="E39" s="18">
        <f>E37-E38</f>
        <v>62398</v>
      </c>
      <c r="F39" s="18">
        <f>F37-F38</f>
        <v>31421</v>
      </c>
      <c r="G39" s="18">
        <f>G37-G38</f>
        <v>55215</v>
      </c>
      <c r="H39" s="18">
        <v>59261</v>
      </c>
      <c r="I39" s="18">
        <f>I37-I38</f>
        <v>46227</v>
      </c>
      <c r="J39" s="18">
        <f>J37-J38</f>
        <v>63456</v>
      </c>
      <c r="K39" s="18">
        <f>K37-K38</f>
        <v>72200</v>
      </c>
      <c r="L39" s="18">
        <f>L37-L38</f>
        <v>34485</v>
      </c>
      <c r="M39" s="18">
        <f>M37-M38</f>
        <v>73490</v>
      </c>
      <c r="N39" s="18">
        <v>82927</v>
      </c>
      <c r="O39" s="18">
        <f>SUM(C39:N39)</f>
        <v>638697</v>
      </c>
      <c r="P39" s="20">
        <f>O39/O33-1</f>
        <v>5.8033939410002899E-2</v>
      </c>
    </row>
    <row r="40" spans="2:16" ht="14" customHeight="1" x14ac:dyDescent="0.25">
      <c r="B40" s="104" t="s">
        <v>27</v>
      </c>
      <c r="C40" s="102">
        <v>29913</v>
      </c>
      <c r="D40" s="102">
        <v>22537</v>
      </c>
      <c r="E40" s="102">
        <v>47917</v>
      </c>
      <c r="F40" s="102">
        <v>31962</v>
      </c>
      <c r="G40" s="102">
        <v>45359</v>
      </c>
      <c r="H40" s="102">
        <v>41110</v>
      </c>
      <c r="I40" s="102">
        <v>36299</v>
      </c>
      <c r="J40" s="102">
        <v>45330</v>
      </c>
      <c r="K40" s="102">
        <v>48202</v>
      </c>
      <c r="L40" s="102">
        <v>42265</v>
      </c>
      <c r="M40" s="102">
        <v>44576</v>
      </c>
      <c r="N40" s="102">
        <v>61181</v>
      </c>
      <c r="O40" s="102">
        <f>SUM(C40:N40)</f>
        <v>496651</v>
      </c>
      <c r="P40" s="105">
        <f>O40/O34-1</f>
        <v>8.8206681069426862E-2</v>
      </c>
    </row>
    <row r="41" spans="2:16" ht="14" customHeight="1" x14ac:dyDescent="0.25">
      <c r="B41" s="104" t="s">
        <v>28</v>
      </c>
      <c r="C41" s="102">
        <v>9969</v>
      </c>
      <c r="D41" s="102">
        <v>7604</v>
      </c>
      <c r="E41" s="102">
        <v>15230</v>
      </c>
      <c r="F41" s="102">
        <v>30205</v>
      </c>
      <c r="G41" s="102">
        <v>27214</v>
      </c>
      <c r="H41" s="102">
        <v>18151</v>
      </c>
      <c r="I41" s="102">
        <v>9928</v>
      </c>
      <c r="J41" s="102">
        <v>18126</v>
      </c>
      <c r="K41" s="102">
        <v>23998</v>
      </c>
      <c r="L41" s="102">
        <v>26015</v>
      </c>
      <c r="M41" s="102">
        <v>28914</v>
      </c>
      <c r="N41" s="102">
        <v>21046</v>
      </c>
      <c r="O41" s="102">
        <f>SUM(C41:N41)</f>
        <v>236400</v>
      </c>
      <c r="P41" s="105">
        <f>O41/O35-1</f>
        <v>0.60521491138724781</v>
      </c>
    </row>
    <row r="42" spans="2:16" ht="14" customHeight="1" x14ac:dyDescent="0.25">
      <c r="B42" s="10" t="s">
        <v>188</v>
      </c>
      <c r="C42" s="10" t="s">
        <v>49</v>
      </c>
      <c r="D42" s="10" t="s">
        <v>50</v>
      </c>
      <c r="E42" s="10" t="s">
        <v>51</v>
      </c>
      <c r="F42" s="10" t="s">
        <v>52</v>
      </c>
      <c r="G42" s="10" t="s">
        <v>53</v>
      </c>
      <c r="H42" s="10" t="s">
        <v>54</v>
      </c>
      <c r="I42" s="10" t="s">
        <v>55</v>
      </c>
      <c r="J42" s="10" t="s">
        <v>56</v>
      </c>
      <c r="K42" s="10" t="s">
        <v>57</v>
      </c>
      <c r="L42" s="10" t="s">
        <v>58</v>
      </c>
      <c r="M42" s="10" t="s">
        <v>59</v>
      </c>
      <c r="N42" s="10" t="s">
        <v>60</v>
      </c>
      <c r="O42" s="10" t="s">
        <v>38</v>
      </c>
      <c r="P42" s="10" t="s">
        <v>61</v>
      </c>
    </row>
    <row r="43" spans="2:16" ht="14" customHeight="1" x14ac:dyDescent="0.25">
      <c r="B43" s="14" t="s">
        <v>63</v>
      </c>
      <c r="C43" s="21">
        <v>63238</v>
      </c>
      <c r="D43" s="21">
        <v>30688</v>
      </c>
      <c r="E43" s="21">
        <v>78828</v>
      </c>
      <c r="F43" s="21">
        <v>58459</v>
      </c>
      <c r="G43" s="21">
        <v>61662</v>
      </c>
      <c r="H43" s="21">
        <v>71599</v>
      </c>
      <c r="I43" s="18">
        <v>67886</v>
      </c>
      <c r="J43" s="21">
        <v>83192</v>
      </c>
      <c r="K43" s="18">
        <v>90812</v>
      </c>
      <c r="L43" s="21">
        <v>61497</v>
      </c>
      <c r="M43" s="18">
        <v>86700</v>
      </c>
      <c r="N43" s="21">
        <v>97171</v>
      </c>
      <c r="O43" s="18">
        <f>SUM(C43:N43)</f>
        <v>851732</v>
      </c>
      <c r="P43" s="103">
        <f>O43/O37-1</f>
        <v>-6.4709112072562802E-2</v>
      </c>
    </row>
    <row r="44" spans="2:16" ht="14" customHeight="1" x14ac:dyDescent="0.25">
      <c r="B44" s="14" t="s">
        <v>64</v>
      </c>
      <c r="C44" s="18">
        <v>29535</v>
      </c>
      <c r="D44" s="19">
        <v>3911</v>
      </c>
      <c r="E44" s="19">
        <v>4701</v>
      </c>
      <c r="F44" s="18">
        <v>29728</v>
      </c>
      <c r="G44" s="18">
        <v>23074</v>
      </c>
      <c r="H44" s="18">
        <v>10115</v>
      </c>
      <c r="I44" s="18">
        <v>27269</v>
      </c>
      <c r="J44" s="18">
        <v>26040</v>
      </c>
      <c r="K44" s="18">
        <v>19287</v>
      </c>
      <c r="L44" s="18">
        <v>35491</v>
      </c>
      <c r="M44" s="18">
        <v>13555</v>
      </c>
      <c r="N44" s="18">
        <v>3328</v>
      </c>
      <c r="O44" s="18">
        <f>SUM(C44:N44)</f>
        <v>226034</v>
      </c>
      <c r="P44" s="20">
        <f>O44/O38-1</f>
        <v>-0.15181057450560997</v>
      </c>
    </row>
    <row r="45" spans="2:16" ht="14" customHeight="1" x14ac:dyDescent="0.25">
      <c r="B45" s="14" t="s">
        <v>66</v>
      </c>
      <c r="C45" s="18">
        <f>C43-C44</f>
        <v>33703</v>
      </c>
      <c r="D45" s="18">
        <f t="shared" ref="D45:N45" si="1">D43-D44</f>
        <v>26777</v>
      </c>
      <c r="E45" s="18">
        <f t="shared" si="1"/>
        <v>74127</v>
      </c>
      <c r="F45" s="18">
        <f t="shared" si="1"/>
        <v>28731</v>
      </c>
      <c r="G45" s="18">
        <f t="shared" si="1"/>
        <v>38588</v>
      </c>
      <c r="H45" s="18">
        <f t="shared" si="1"/>
        <v>61484</v>
      </c>
      <c r="I45" s="18">
        <f t="shared" si="1"/>
        <v>40617</v>
      </c>
      <c r="J45" s="18">
        <f t="shared" si="1"/>
        <v>57152</v>
      </c>
      <c r="K45" s="18">
        <f t="shared" si="1"/>
        <v>71525</v>
      </c>
      <c r="L45" s="18">
        <f t="shared" si="1"/>
        <v>26006</v>
      </c>
      <c r="M45" s="18">
        <f t="shared" si="1"/>
        <v>73145</v>
      </c>
      <c r="N45" s="18">
        <f t="shared" si="1"/>
        <v>93843</v>
      </c>
      <c r="O45" s="18">
        <f>SUM(C45:N45)</f>
        <v>625698</v>
      </c>
      <c r="P45" s="20">
        <f>O45/O39-1</f>
        <v>-2.0352373660749934E-2</v>
      </c>
    </row>
    <row r="46" spans="2:16" ht="14" customHeight="1" x14ac:dyDescent="0.25">
      <c r="B46" s="104" t="s">
        <v>27</v>
      </c>
      <c r="C46" s="102">
        <v>25694</v>
      </c>
      <c r="D46" s="102">
        <v>18771</v>
      </c>
      <c r="E46" s="102">
        <v>48189</v>
      </c>
      <c r="F46" s="102">
        <v>19984</v>
      </c>
      <c r="G46" s="102">
        <v>24770</v>
      </c>
      <c r="H46" s="102">
        <v>44848</v>
      </c>
      <c r="I46" s="102">
        <v>30766</v>
      </c>
      <c r="J46" s="102">
        <v>39413</v>
      </c>
      <c r="K46" s="102">
        <v>51173</v>
      </c>
      <c r="L46" s="102">
        <v>19488</v>
      </c>
      <c r="M46" s="102">
        <v>47132</v>
      </c>
      <c r="N46" s="102">
        <v>65874</v>
      </c>
      <c r="O46" s="102">
        <v>425337</v>
      </c>
      <c r="P46" s="105">
        <f>O46/O40-1</f>
        <v>-0.14358976424088543</v>
      </c>
    </row>
    <row r="47" spans="2:16" ht="14" customHeight="1" x14ac:dyDescent="0.25">
      <c r="B47" s="104" t="s">
        <v>28</v>
      </c>
      <c r="C47" s="102">
        <v>8009</v>
      </c>
      <c r="D47" s="102">
        <v>8006</v>
      </c>
      <c r="E47" s="102">
        <v>25938</v>
      </c>
      <c r="F47" s="102">
        <v>8747</v>
      </c>
      <c r="G47" s="102">
        <v>13818</v>
      </c>
      <c r="H47" s="102">
        <v>16636</v>
      </c>
      <c r="I47" s="102">
        <v>9851</v>
      </c>
      <c r="J47" s="102">
        <v>17739</v>
      </c>
      <c r="K47" s="102">
        <v>20352</v>
      </c>
      <c r="L47" s="102">
        <v>6518</v>
      </c>
      <c r="M47" s="102">
        <v>26013</v>
      </c>
      <c r="N47" s="102">
        <v>27969</v>
      </c>
      <c r="O47" s="102">
        <v>200361</v>
      </c>
      <c r="P47" s="105">
        <f>O47/O41-1</f>
        <v>-0.1524492385786802</v>
      </c>
    </row>
    <row r="48" spans="2:16" ht="14" customHeight="1" x14ac:dyDescent="0.25">
      <c r="B48" s="10" t="s">
        <v>210</v>
      </c>
      <c r="C48" s="10" t="s">
        <v>49</v>
      </c>
      <c r="D48" s="10" t="s">
        <v>50</v>
      </c>
      <c r="E48" s="10" t="s">
        <v>51</v>
      </c>
      <c r="F48" s="10" t="s">
        <v>52</v>
      </c>
      <c r="G48" s="10" t="s">
        <v>53</v>
      </c>
      <c r="H48" s="10" t="s">
        <v>54</v>
      </c>
      <c r="I48" s="10" t="s">
        <v>55</v>
      </c>
      <c r="J48" s="10" t="s">
        <v>56</v>
      </c>
      <c r="K48" s="10" t="s">
        <v>57</v>
      </c>
      <c r="L48" s="10" t="s">
        <v>58</v>
      </c>
      <c r="M48" s="10" t="s">
        <v>59</v>
      </c>
      <c r="N48" s="10" t="s">
        <v>60</v>
      </c>
      <c r="O48" s="10" t="s">
        <v>38</v>
      </c>
      <c r="P48" s="10" t="s">
        <v>61</v>
      </c>
    </row>
    <row r="49" spans="2:16" ht="14" customHeight="1" x14ac:dyDescent="0.25">
      <c r="B49" s="14" t="s">
        <v>63</v>
      </c>
      <c r="C49" s="21">
        <v>69129</v>
      </c>
      <c r="D49" s="21">
        <v>58599</v>
      </c>
      <c r="E49" s="21">
        <v>85670</v>
      </c>
      <c r="F49" s="21">
        <v>79478</v>
      </c>
      <c r="G49" s="21">
        <v>85982</v>
      </c>
      <c r="H49" s="21"/>
      <c r="I49" s="18"/>
      <c r="J49" s="21"/>
      <c r="K49" s="18"/>
      <c r="L49" s="21"/>
      <c r="M49" s="18"/>
      <c r="N49" s="21"/>
      <c r="O49" s="18"/>
      <c r="P49" s="103"/>
    </row>
    <row r="50" spans="2:16" ht="14" customHeight="1" x14ac:dyDescent="0.25">
      <c r="B50" s="14" t="s">
        <v>64</v>
      </c>
      <c r="C50" s="18">
        <v>50644</v>
      </c>
      <c r="D50" s="19">
        <v>20393</v>
      </c>
      <c r="E50" s="19">
        <v>29563</v>
      </c>
      <c r="F50" s="18">
        <v>53522</v>
      </c>
      <c r="G50" s="18">
        <v>38701</v>
      </c>
      <c r="H50" s="18"/>
      <c r="I50" s="18"/>
      <c r="J50" s="18"/>
      <c r="K50" s="18"/>
      <c r="L50" s="18"/>
      <c r="M50" s="18"/>
      <c r="N50" s="18"/>
      <c r="O50" s="18"/>
      <c r="P50" s="20"/>
    </row>
    <row r="51" spans="2:16" ht="14" customHeight="1" x14ac:dyDescent="0.25">
      <c r="B51" s="14" t="s">
        <v>66</v>
      </c>
      <c r="C51" s="18">
        <f>C49-C50</f>
        <v>18485</v>
      </c>
      <c r="D51" s="18">
        <f>D49-D50</f>
        <v>38206</v>
      </c>
      <c r="E51" s="18">
        <f>E49-E50</f>
        <v>56107</v>
      </c>
      <c r="F51" s="18">
        <f>F49-F50</f>
        <v>25956</v>
      </c>
      <c r="G51" s="18">
        <f>G49-G50</f>
        <v>47281</v>
      </c>
      <c r="H51" s="18"/>
      <c r="I51" s="18"/>
      <c r="J51" s="18"/>
      <c r="K51" s="18"/>
      <c r="L51" s="18"/>
      <c r="M51" s="18"/>
      <c r="N51" s="18"/>
      <c r="O51" s="18"/>
      <c r="P51" s="20"/>
    </row>
    <row r="52" spans="2:16" ht="14" customHeight="1" x14ac:dyDescent="0.25">
      <c r="B52" s="104" t="s">
        <v>27</v>
      </c>
      <c r="C52" s="102">
        <v>16845</v>
      </c>
      <c r="D52" s="102">
        <v>25286</v>
      </c>
      <c r="E52" s="102">
        <v>39827</v>
      </c>
      <c r="F52" s="102">
        <v>22990</v>
      </c>
      <c r="G52" s="102">
        <v>28911</v>
      </c>
      <c r="H52" s="102"/>
      <c r="I52" s="102"/>
      <c r="J52" s="102"/>
      <c r="K52" s="102"/>
      <c r="L52" s="102"/>
      <c r="M52" s="102"/>
      <c r="N52" s="102"/>
      <c r="O52" s="102"/>
      <c r="P52" s="105"/>
    </row>
    <row r="53" spans="2:16" ht="14" customHeight="1" x14ac:dyDescent="0.25">
      <c r="B53" s="104" t="s">
        <v>28</v>
      </c>
      <c r="C53" s="102">
        <v>1640</v>
      </c>
      <c r="D53" s="102">
        <v>12920</v>
      </c>
      <c r="E53" s="102">
        <v>16280</v>
      </c>
      <c r="F53" s="102">
        <v>2966</v>
      </c>
      <c r="G53" s="102">
        <v>18370</v>
      </c>
      <c r="H53" s="102"/>
      <c r="I53" s="102"/>
      <c r="J53" s="102"/>
      <c r="K53" s="102"/>
      <c r="L53" s="102"/>
      <c r="M53" s="102"/>
      <c r="N53" s="102"/>
      <c r="O53" s="102"/>
      <c r="P53" s="105"/>
    </row>
    <row r="54" spans="2:16" ht="14" customHeight="1" x14ac:dyDescent="0.25">
      <c r="B54" s="106"/>
      <c r="C54" s="107"/>
      <c r="D54" s="107"/>
      <c r="E54" s="107"/>
      <c r="F54" s="107"/>
      <c r="G54" s="107"/>
      <c r="H54" s="107"/>
      <c r="I54" s="107"/>
      <c r="J54" s="107"/>
      <c r="K54" s="107"/>
      <c r="L54" s="209"/>
      <c r="M54" s="209"/>
      <c r="N54" s="209"/>
      <c r="O54" s="209"/>
      <c r="P54" s="203"/>
    </row>
    <row r="55" spans="2:16" ht="14" customHeight="1" x14ac:dyDescent="0.25">
      <c r="B55" s="22" t="s">
        <v>68</v>
      </c>
      <c r="C55" s="107"/>
      <c r="D55" s="107"/>
      <c r="E55" s="107"/>
      <c r="F55" s="107"/>
      <c r="G55" s="107"/>
      <c r="H55" s="107"/>
      <c r="I55" s="107"/>
      <c r="J55" s="107"/>
      <c r="K55" s="107"/>
      <c r="L55" s="209"/>
      <c r="M55" s="209"/>
      <c r="N55" s="209"/>
      <c r="O55" s="209"/>
      <c r="P55" s="203"/>
    </row>
    <row r="56" spans="2:16" ht="14" customHeight="1" x14ac:dyDescent="0.25">
      <c r="B56" s="203"/>
      <c r="C56" s="203"/>
      <c r="D56" s="203"/>
      <c r="E56" s="203"/>
      <c r="F56" s="203"/>
      <c r="G56" s="203"/>
      <c r="H56" s="203"/>
      <c r="I56" s="203"/>
      <c r="J56" s="203"/>
      <c r="K56" s="203"/>
      <c r="L56" s="203"/>
      <c r="M56" s="203"/>
      <c r="N56" s="203"/>
      <c r="O56" s="203"/>
      <c r="P56" s="203"/>
    </row>
    <row r="57" spans="2:16" ht="14" customHeight="1" x14ac:dyDescent="0.25">
      <c r="B57" s="203"/>
      <c r="C57" s="203"/>
      <c r="D57" s="203"/>
      <c r="E57" s="203"/>
      <c r="F57" s="203"/>
      <c r="G57" s="203"/>
      <c r="H57" s="203"/>
      <c r="I57" s="203"/>
      <c r="J57" s="203"/>
      <c r="K57" s="203"/>
      <c r="L57" s="203"/>
      <c r="M57" s="203"/>
      <c r="N57" s="203"/>
      <c r="O57" s="203"/>
      <c r="P57" s="203"/>
    </row>
    <row r="58" spans="2:16" ht="14" customHeight="1" x14ac:dyDescent="0.25">
      <c r="B58" s="203"/>
      <c r="C58" s="203"/>
      <c r="D58" s="203"/>
      <c r="E58" s="203"/>
      <c r="F58" s="203"/>
      <c r="G58" s="203"/>
      <c r="H58" s="203"/>
      <c r="I58" s="203"/>
      <c r="J58" s="203"/>
      <c r="K58" s="203"/>
      <c r="L58" s="203"/>
      <c r="M58" s="203"/>
      <c r="N58" s="203"/>
      <c r="O58" s="203"/>
      <c r="P58" s="203"/>
    </row>
    <row r="59" spans="2:16" ht="14" customHeight="1" x14ac:dyDescent="0.25">
      <c r="B59" s="203"/>
      <c r="C59" s="203"/>
      <c r="D59" s="203"/>
      <c r="E59" s="203"/>
      <c r="F59" s="203"/>
      <c r="G59" s="203"/>
      <c r="H59" s="203"/>
      <c r="I59" s="203"/>
      <c r="J59" s="203"/>
      <c r="K59" s="203"/>
      <c r="L59" s="203"/>
      <c r="M59" s="203"/>
      <c r="N59" s="203"/>
      <c r="O59" s="203"/>
      <c r="P59" s="203"/>
    </row>
    <row r="60" spans="2:16" ht="14" customHeight="1" x14ac:dyDescent="0.25">
      <c r="B60" s="203"/>
      <c r="C60" s="203"/>
      <c r="D60" s="203"/>
      <c r="E60" s="203"/>
      <c r="F60" s="203"/>
      <c r="G60" s="203"/>
      <c r="H60" s="203"/>
      <c r="I60" s="203"/>
      <c r="J60" s="203"/>
      <c r="K60" s="203"/>
      <c r="L60" s="203"/>
      <c r="M60" s="203"/>
      <c r="N60" s="203"/>
      <c r="O60" s="203"/>
      <c r="P60" s="203"/>
    </row>
    <row r="61" spans="2:16" ht="14" customHeight="1" x14ac:dyDescent="0.25">
      <c r="B61" s="203"/>
      <c r="C61" s="203"/>
      <c r="D61" s="203"/>
      <c r="E61" s="203"/>
      <c r="F61" s="203"/>
      <c r="G61" s="203"/>
      <c r="H61" s="203"/>
      <c r="I61" s="203"/>
      <c r="J61" s="203"/>
      <c r="K61" s="203"/>
      <c r="L61" s="203"/>
      <c r="M61" s="203"/>
      <c r="N61" s="203"/>
      <c r="O61" s="203"/>
      <c r="P61" s="203"/>
    </row>
    <row r="62" spans="2:16" ht="14" customHeight="1" x14ac:dyDescent="0.25">
      <c r="B62" s="203"/>
      <c r="C62" s="203"/>
      <c r="D62" s="203"/>
      <c r="E62" s="203"/>
      <c r="F62" s="203"/>
      <c r="G62" s="203"/>
      <c r="H62" s="203"/>
      <c r="I62" s="203"/>
      <c r="J62" s="203"/>
      <c r="K62" s="203"/>
      <c r="L62" s="203"/>
      <c r="M62" s="203"/>
      <c r="N62" s="203"/>
      <c r="O62" s="203"/>
      <c r="P62" s="203"/>
    </row>
    <row r="63" spans="2:16" ht="14" customHeight="1" x14ac:dyDescent="0.25">
      <c r="B63" s="203"/>
      <c r="C63" s="203"/>
      <c r="D63" s="203"/>
      <c r="E63" s="203"/>
      <c r="F63" s="203"/>
      <c r="G63" s="203"/>
      <c r="H63" s="203"/>
      <c r="I63" s="203"/>
      <c r="J63" s="203"/>
      <c r="K63" s="203"/>
      <c r="L63" s="203"/>
      <c r="M63" s="203"/>
      <c r="N63" s="203"/>
      <c r="O63" s="203"/>
      <c r="P63" s="203"/>
    </row>
    <row r="64" spans="2:16" ht="14" customHeight="1" x14ac:dyDescent="0.25"/>
    <row r="65" ht="14" customHeight="1" x14ac:dyDescent="0.25"/>
    <row r="66" ht="14" customHeight="1" x14ac:dyDescent="0.25"/>
    <row r="67" ht="14" customHeight="1" x14ac:dyDescent="0.25"/>
    <row r="68" ht="14" customHeight="1" x14ac:dyDescent="0.25"/>
    <row r="69" ht="14" customHeight="1" x14ac:dyDescent="0.25"/>
    <row r="70" ht="14" customHeight="1" x14ac:dyDescent="0.25"/>
    <row r="71" ht="14" customHeight="1" x14ac:dyDescent="0.25"/>
    <row r="72" ht="14" customHeight="1" x14ac:dyDescent="0.25"/>
    <row r="73" ht="14" customHeight="1" x14ac:dyDescent="0.25"/>
    <row r="74" ht="14" customHeight="1" x14ac:dyDescent="0.25"/>
    <row r="75" ht="14" customHeight="1" x14ac:dyDescent="0.25"/>
    <row r="76" ht="14" customHeight="1" x14ac:dyDescent="0.25"/>
    <row r="77" ht="14" customHeight="1" x14ac:dyDescent="0.25"/>
    <row r="78" ht="14" customHeight="1" x14ac:dyDescent="0.25"/>
    <row r="79" ht="14" customHeight="1" x14ac:dyDescent="0.25"/>
    <row r="80" ht="14" customHeight="1" x14ac:dyDescent="0.25"/>
    <row r="81" ht="14" customHeight="1" x14ac:dyDescent="0.25"/>
    <row r="82" ht="14" customHeight="1" x14ac:dyDescent="0.25"/>
    <row r="83" ht="14" customHeight="1" x14ac:dyDescent="0.25"/>
    <row r="84" ht="14" customHeight="1" x14ac:dyDescent="0.25"/>
    <row r="85" ht="14" customHeight="1" x14ac:dyDescent="0.25"/>
    <row r="86" ht="14" customHeight="1" x14ac:dyDescent="0.25"/>
    <row r="87" ht="14" customHeight="1" x14ac:dyDescent="0.25"/>
    <row r="88" ht="14" customHeight="1" x14ac:dyDescent="0.25"/>
    <row r="89" ht="14" customHeight="1" x14ac:dyDescent="0.25"/>
    <row r="90" ht="14" customHeight="1" x14ac:dyDescent="0.25"/>
    <row r="91" ht="14" customHeight="1" x14ac:dyDescent="0.25"/>
    <row r="92" ht="14" customHeight="1" x14ac:dyDescent="0.25"/>
    <row r="93" ht="14" customHeight="1" x14ac:dyDescent="0.25"/>
    <row r="94" ht="14" customHeight="1" x14ac:dyDescent="0.25"/>
    <row r="95" ht="14" customHeight="1" x14ac:dyDescent="0.25"/>
    <row r="96" ht="14" customHeight="1" x14ac:dyDescent="0.25"/>
    <row r="97" ht="14" customHeight="1" x14ac:dyDescent="0.25"/>
    <row r="98" ht="14" customHeight="1" x14ac:dyDescent="0.25"/>
    <row r="99" ht="14" customHeight="1" x14ac:dyDescent="0.25"/>
    <row r="100" ht="14" customHeight="1" x14ac:dyDescent="0.25"/>
    <row r="101" ht="14" customHeight="1" x14ac:dyDescent="0.25"/>
    <row r="102" ht="14" customHeight="1" x14ac:dyDescent="0.25"/>
    <row r="103" ht="14" customHeight="1" x14ac:dyDescent="0.25"/>
    <row r="104" ht="14" customHeight="1" x14ac:dyDescent="0.25"/>
    <row r="105" ht="14" customHeight="1" x14ac:dyDescent="0.25"/>
    <row r="106" ht="14" customHeight="1" x14ac:dyDescent="0.25"/>
    <row r="107" ht="14" customHeight="1" x14ac:dyDescent="0.25"/>
    <row r="108" ht="14" customHeight="1" x14ac:dyDescent="0.25"/>
    <row r="109" ht="14" customHeight="1" x14ac:dyDescent="0.25"/>
    <row r="110" ht="14" customHeight="1" x14ac:dyDescent="0.25"/>
    <row r="111" ht="14" customHeight="1" x14ac:dyDescent="0.25"/>
    <row r="112" ht="14" customHeight="1" x14ac:dyDescent="0.25"/>
    <row r="113" ht="14" customHeight="1" x14ac:dyDescent="0.25"/>
    <row r="114" ht="14" customHeight="1" x14ac:dyDescent="0.25"/>
    <row r="115" ht="14" customHeight="1" x14ac:dyDescent="0.25"/>
    <row r="116" ht="14" customHeight="1" x14ac:dyDescent="0.25"/>
    <row r="117" ht="14" customHeight="1" x14ac:dyDescent="0.25"/>
    <row r="118" ht="14" customHeight="1" x14ac:dyDescent="0.25"/>
    <row r="119" ht="14" customHeight="1" x14ac:dyDescent="0.25"/>
    <row r="120" ht="14" customHeight="1" x14ac:dyDescent="0.25"/>
    <row r="121" ht="14" customHeight="1" x14ac:dyDescent="0.25"/>
    <row r="122" ht="14" customHeight="1" x14ac:dyDescent="0.25"/>
    <row r="123" ht="14" customHeight="1" x14ac:dyDescent="0.25"/>
    <row r="124" ht="14" customHeight="1" x14ac:dyDescent="0.25"/>
    <row r="125" ht="14" customHeight="1" x14ac:dyDescent="0.25"/>
    <row r="126" ht="14" customHeight="1" x14ac:dyDescent="0.25"/>
    <row r="127" ht="14" customHeight="1" x14ac:dyDescent="0.25"/>
    <row r="128" ht="14" customHeight="1" x14ac:dyDescent="0.25"/>
    <row r="129" ht="14" customHeight="1" x14ac:dyDescent="0.25"/>
    <row r="130" ht="14" customHeight="1" x14ac:dyDescent="0.25"/>
    <row r="131" ht="14" customHeight="1" x14ac:dyDescent="0.25"/>
    <row r="132" ht="14" customHeight="1" x14ac:dyDescent="0.25"/>
    <row r="133" ht="14" customHeight="1" x14ac:dyDescent="0.25"/>
    <row r="134" ht="14" customHeight="1" x14ac:dyDescent="0.25"/>
    <row r="135" ht="14" customHeight="1" x14ac:dyDescent="0.25"/>
    <row r="136" ht="14" customHeight="1" x14ac:dyDescent="0.25"/>
    <row r="137" ht="14" customHeight="1" x14ac:dyDescent="0.25"/>
    <row r="138" ht="14" customHeight="1" x14ac:dyDescent="0.25"/>
    <row r="139" ht="14" customHeight="1" x14ac:dyDescent="0.25"/>
    <row r="140" ht="14" customHeight="1" x14ac:dyDescent="0.25"/>
    <row r="141" ht="14" customHeight="1" x14ac:dyDescent="0.25"/>
    <row r="142" ht="14" customHeight="1" x14ac:dyDescent="0.25"/>
    <row r="143" ht="14" customHeight="1" x14ac:dyDescent="0.25"/>
    <row r="144" ht="14" customHeight="1" x14ac:dyDescent="0.25"/>
    <row r="145" ht="14" customHeight="1" x14ac:dyDescent="0.25"/>
    <row r="146" ht="14" customHeight="1" x14ac:dyDescent="0.25"/>
    <row r="147" ht="14" customHeight="1" x14ac:dyDescent="0.25"/>
    <row r="148" ht="14" customHeight="1" x14ac:dyDescent="0.25"/>
    <row r="149" ht="14" customHeight="1" x14ac:dyDescent="0.25"/>
    <row r="150" ht="14" customHeight="1" x14ac:dyDescent="0.25"/>
    <row r="151" ht="14" customHeight="1" x14ac:dyDescent="0.25"/>
    <row r="152" ht="14" customHeight="1" x14ac:dyDescent="0.25"/>
    <row r="153" ht="14" customHeight="1" x14ac:dyDescent="0.25"/>
    <row r="154" ht="14" customHeight="1" x14ac:dyDescent="0.25"/>
    <row r="155" ht="14" customHeight="1" x14ac:dyDescent="0.25"/>
    <row r="156" ht="14" customHeight="1" x14ac:dyDescent="0.25"/>
    <row r="157" ht="14" customHeight="1" x14ac:dyDescent="0.25"/>
    <row r="158" ht="14" customHeight="1" x14ac:dyDescent="0.25"/>
    <row r="159" ht="14" customHeight="1" x14ac:dyDescent="0.25"/>
    <row r="160" ht="14" customHeight="1" x14ac:dyDescent="0.25"/>
    <row r="161" ht="14" customHeight="1" x14ac:dyDescent="0.25"/>
    <row r="162" ht="14" customHeight="1" x14ac:dyDescent="0.25"/>
    <row r="163" ht="14" customHeight="1" x14ac:dyDescent="0.25"/>
    <row r="164" ht="14" customHeight="1" x14ac:dyDescent="0.25"/>
    <row r="165" ht="14" customHeight="1" x14ac:dyDescent="0.25"/>
    <row r="166" ht="14" customHeight="1" x14ac:dyDescent="0.25"/>
    <row r="167" ht="14" customHeight="1" x14ac:dyDescent="0.25"/>
  </sheetData>
  <phoneticPr fontId="17" type="noConversion"/>
  <hyperlinks>
    <hyperlink ref="B44" r:id="rId1" xr:uid="{00000000-0004-0000-0D00-000049010000}"/>
    <hyperlink ref="B40" r:id="rId2" xr:uid="{00000000-0004-0000-0D00-00005E000000}"/>
    <hyperlink ref="B41" r:id="rId3" xr:uid="{00000000-0004-0000-0D00-00005D000000}"/>
    <hyperlink ref="B34" r:id="rId4" xr:uid="{00000000-0004-0000-0D00-00002D000000}"/>
    <hyperlink ref="B35" r:id="rId5" xr:uid="{00000000-0004-0000-0D00-00002C000000}"/>
    <hyperlink ref="B28" r:id="rId6" xr:uid="{00000000-0004-0000-0D00-000011000000}"/>
    <hyperlink ref="B29" r:id="rId7" xr:uid="{00000000-0004-0000-0D00-000010000000}"/>
    <hyperlink ref="B50" r:id="rId8" xr:uid="{EC6887F1-7598-46E8-9598-2F7E56EFB3E7}"/>
  </hyperlinks>
  <pageMargins left="0.7" right="0.7" top="0.75" bottom="0.75" header="0.3" footer="0.3"/>
  <pageSetup paperSize="9" orientation="portrait" horizontalDpi="200" verticalDpi="200" r:id="rId9"/>
  <ignoredErrors>
    <ignoredError sqref="O2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55"/>
  <sheetViews>
    <sheetView topLeftCell="K1" zoomScaleNormal="100" workbookViewId="0">
      <pane ySplit="2" topLeftCell="A63" activePane="bottomLeft" state="frozen"/>
      <selection pane="bottomLeft" activeCell="K66" sqref="K66"/>
    </sheetView>
  </sheetViews>
  <sheetFormatPr defaultColWidth="9" defaultRowHeight="11.55" x14ac:dyDescent="0.25"/>
  <cols>
    <col min="1" max="1" width="5.69921875" style="148" customWidth="1"/>
    <col min="2" max="13" width="13.69921875" style="47" customWidth="1"/>
    <col min="14" max="16384" width="9" style="148"/>
  </cols>
  <sheetData>
    <row r="1" spans="1:13" ht="13.25" x14ac:dyDescent="0.25">
      <c r="B1" s="210" t="s">
        <v>123</v>
      </c>
    </row>
    <row r="2" spans="1:13" s="5" customFormat="1" ht="44.25" customHeight="1" x14ac:dyDescent="0.25">
      <c r="B2" s="54" t="s">
        <v>31</v>
      </c>
      <c r="C2" s="6" t="s">
        <v>32</v>
      </c>
      <c r="D2" s="108" t="s">
        <v>177</v>
      </c>
      <c r="E2" s="108" t="s">
        <v>178</v>
      </c>
      <c r="F2" s="6" t="s">
        <v>33</v>
      </c>
      <c r="G2" s="108" t="s">
        <v>179</v>
      </c>
      <c r="H2" s="108" t="s">
        <v>180</v>
      </c>
      <c r="I2" s="7" t="s">
        <v>34</v>
      </c>
      <c r="J2" s="7" t="s">
        <v>35</v>
      </c>
      <c r="K2" s="108" t="s">
        <v>168</v>
      </c>
      <c r="L2" s="6" t="s">
        <v>36</v>
      </c>
      <c r="M2" s="7" t="s">
        <v>37</v>
      </c>
    </row>
    <row r="3" spans="1:13" ht="14" customHeight="1" x14ac:dyDescent="0.25">
      <c r="A3" s="211"/>
      <c r="B3" s="109">
        <v>44227</v>
      </c>
      <c r="C3" s="110">
        <f t="shared" ref="C3:C26" si="0">D3+E3</f>
        <v>171.6</v>
      </c>
      <c r="D3" s="111">
        <v>81.099999999999994</v>
      </c>
      <c r="E3" s="112">
        <v>90.5</v>
      </c>
      <c r="F3" s="113">
        <f t="shared" ref="F3:F34" si="1">I3+J3</f>
        <v>3.6</v>
      </c>
      <c r="G3" s="112"/>
      <c r="H3" s="112"/>
      <c r="I3" s="112">
        <v>0.4</v>
      </c>
      <c r="J3" s="112">
        <v>3.2</v>
      </c>
      <c r="K3" s="112">
        <v>17.9176</v>
      </c>
      <c r="L3" s="111">
        <f t="shared" ref="L3:L34" si="2">K3/F3</f>
        <v>4.9771111111111113</v>
      </c>
      <c r="M3" s="114">
        <f t="shared" ref="M3:M34" si="3">D3/C3</f>
        <v>0.47261072261072257</v>
      </c>
    </row>
    <row r="4" spans="1:13" ht="14" customHeight="1" x14ac:dyDescent="0.25">
      <c r="A4" s="211"/>
      <c r="B4" s="109">
        <v>44255</v>
      </c>
      <c r="C4" s="110">
        <f t="shared" si="0"/>
        <v>175.8</v>
      </c>
      <c r="D4" s="111">
        <v>83.7</v>
      </c>
      <c r="E4" s="112">
        <v>92.1</v>
      </c>
      <c r="F4" s="113">
        <f t="shared" si="1"/>
        <v>4.0999999999999996</v>
      </c>
      <c r="G4" s="112"/>
      <c r="H4" s="112"/>
      <c r="I4" s="112">
        <v>2.6</v>
      </c>
      <c r="J4" s="112">
        <v>1.5</v>
      </c>
      <c r="K4" s="112">
        <v>10.9634</v>
      </c>
      <c r="L4" s="111">
        <f t="shared" si="2"/>
        <v>2.6740000000000004</v>
      </c>
      <c r="M4" s="114">
        <f t="shared" si="3"/>
        <v>0.47610921501706482</v>
      </c>
    </row>
    <row r="5" spans="1:13" ht="14" customHeight="1" x14ac:dyDescent="0.25">
      <c r="A5" s="211"/>
      <c r="B5" s="109">
        <v>44286</v>
      </c>
      <c r="C5" s="110">
        <f t="shared" si="0"/>
        <v>178.8</v>
      </c>
      <c r="D5" s="111">
        <v>85.1</v>
      </c>
      <c r="E5" s="112">
        <v>93.7</v>
      </c>
      <c r="F5" s="113">
        <f t="shared" si="1"/>
        <v>3</v>
      </c>
      <c r="G5" s="112"/>
      <c r="H5" s="112"/>
      <c r="I5" s="112">
        <v>1.3</v>
      </c>
      <c r="J5" s="112">
        <v>1.7</v>
      </c>
      <c r="K5" s="112">
        <v>22.580100000000002</v>
      </c>
      <c r="L5" s="111">
        <f t="shared" si="2"/>
        <v>7.5267000000000008</v>
      </c>
      <c r="M5" s="114">
        <f t="shared" si="3"/>
        <v>0.47595078299776278</v>
      </c>
    </row>
    <row r="6" spans="1:13" ht="14" customHeight="1" x14ac:dyDescent="0.25">
      <c r="A6" s="211"/>
      <c r="B6" s="109">
        <v>44316</v>
      </c>
      <c r="C6" s="110">
        <f t="shared" si="0"/>
        <v>182.7</v>
      </c>
      <c r="D6" s="111">
        <v>86.8</v>
      </c>
      <c r="E6" s="112">
        <v>95.9</v>
      </c>
      <c r="F6" s="113">
        <f t="shared" si="1"/>
        <v>3.9000000000000004</v>
      </c>
      <c r="G6" s="112"/>
      <c r="H6" s="112"/>
      <c r="I6" s="112">
        <v>1.8</v>
      </c>
      <c r="J6" s="112">
        <v>2.1</v>
      </c>
      <c r="K6" s="112">
        <v>20.6206</v>
      </c>
      <c r="L6" s="111">
        <f t="shared" si="2"/>
        <v>5.2873333333333328</v>
      </c>
      <c r="M6" s="114">
        <f t="shared" si="3"/>
        <v>0.47509578544061304</v>
      </c>
    </row>
    <row r="7" spans="1:13" ht="14" customHeight="1" x14ac:dyDescent="0.25">
      <c r="A7" s="211"/>
      <c r="B7" s="109">
        <v>44347</v>
      </c>
      <c r="C7" s="110">
        <f t="shared" si="0"/>
        <v>187</v>
      </c>
      <c r="D7" s="111">
        <v>88.4</v>
      </c>
      <c r="E7" s="112">
        <v>98.6</v>
      </c>
      <c r="F7" s="113">
        <f t="shared" si="1"/>
        <v>4.3000000000000007</v>
      </c>
      <c r="G7" s="112"/>
      <c r="H7" s="112"/>
      <c r="I7" s="112">
        <v>1.6</v>
      </c>
      <c r="J7" s="112">
        <v>2.7</v>
      </c>
      <c r="K7" s="112">
        <v>21.738600000000002</v>
      </c>
      <c r="L7" s="111">
        <f t="shared" si="2"/>
        <v>5.0554883720930226</v>
      </c>
      <c r="M7" s="114">
        <f t="shared" si="3"/>
        <v>0.47272727272727277</v>
      </c>
    </row>
    <row r="8" spans="1:13" ht="14" customHeight="1" x14ac:dyDescent="0.25">
      <c r="A8" s="211"/>
      <c r="B8" s="109">
        <v>44377</v>
      </c>
      <c r="C8" s="110">
        <f t="shared" si="0"/>
        <v>194.7</v>
      </c>
      <c r="D8" s="111">
        <v>92.3</v>
      </c>
      <c r="E8" s="112">
        <v>102.4</v>
      </c>
      <c r="F8" s="113">
        <f t="shared" si="1"/>
        <v>7.8</v>
      </c>
      <c r="G8" s="112"/>
      <c r="H8" s="112"/>
      <c r="I8" s="112">
        <v>3.9</v>
      </c>
      <c r="J8" s="112">
        <v>3.9</v>
      </c>
      <c r="K8" s="112">
        <v>25.5747</v>
      </c>
      <c r="L8" s="111">
        <f t="shared" si="2"/>
        <v>3.2788076923076925</v>
      </c>
      <c r="M8" s="114">
        <f t="shared" si="3"/>
        <v>0.47406266050333851</v>
      </c>
    </row>
    <row r="9" spans="1:13" ht="14" customHeight="1" x14ac:dyDescent="0.25">
      <c r="A9" s="211"/>
      <c r="B9" s="109">
        <v>44408</v>
      </c>
      <c r="C9" s="110">
        <f t="shared" si="0"/>
        <v>201.4</v>
      </c>
      <c r="D9" s="111">
        <v>95</v>
      </c>
      <c r="E9" s="112">
        <v>106.4</v>
      </c>
      <c r="F9" s="113">
        <f t="shared" si="1"/>
        <v>6.7</v>
      </c>
      <c r="G9" s="112"/>
      <c r="H9" s="112"/>
      <c r="I9" s="112">
        <v>2.7</v>
      </c>
      <c r="J9" s="112">
        <v>4</v>
      </c>
      <c r="K9" s="112">
        <v>27.057600000000001</v>
      </c>
      <c r="L9" s="111">
        <f t="shared" si="2"/>
        <v>4.0384477611940302</v>
      </c>
      <c r="M9" s="114">
        <f t="shared" si="3"/>
        <v>0.47169811320754718</v>
      </c>
    </row>
    <row r="10" spans="1:13" ht="14" customHeight="1" x14ac:dyDescent="0.25">
      <c r="A10" s="211"/>
      <c r="B10" s="109">
        <v>44439</v>
      </c>
      <c r="C10" s="110">
        <f t="shared" si="0"/>
        <v>210.5</v>
      </c>
      <c r="D10" s="111">
        <v>98.5</v>
      </c>
      <c r="E10" s="112">
        <v>112</v>
      </c>
      <c r="F10" s="113">
        <f t="shared" si="1"/>
        <v>8.9</v>
      </c>
      <c r="G10" s="112"/>
      <c r="H10" s="112"/>
      <c r="I10" s="112">
        <v>3.4</v>
      </c>
      <c r="J10" s="112">
        <v>5.5</v>
      </c>
      <c r="K10" s="112">
        <v>32.0974</v>
      </c>
      <c r="L10" s="111">
        <f t="shared" si="2"/>
        <v>3.6064494382022469</v>
      </c>
      <c r="M10" s="114">
        <f t="shared" si="3"/>
        <v>0.46793349168646081</v>
      </c>
    </row>
    <row r="11" spans="1:13" ht="14" customHeight="1" x14ac:dyDescent="0.25">
      <c r="A11" s="211"/>
      <c r="B11" s="109">
        <v>44469</v>
      </c>
      <c r="C11" s="110">
        <f t="shared" si="0"/>
        <v>222.3</v>
      </c>
      <c r="D11" s="111">
        <v>104.4</v>
      </c>
      <c r="E11" s="112">
        <v>117.9</v>
      </c>
      <c r="F11" s="113">
        <f t="shared" si="1"/>
        <v>11.9</v>
      </c>
      <c r="G11" s="112"/>
      <c r="H11" s="112"/>
      <c r="I11" s="112">
        <v>6</v>
      </c>
      <c r="J11" s="112">
        <v>5.9</v>
      </c>
      <c r="K11" s="112">
        <v>35.747399999999999</v>
      </c>
      <c r="L11" s="111">
        <f t="shared" si="2"/>
        <v>3.0039831932773109</v>
      </c>
      <c r="M11" s="114">
        <f t="shared" si="3"/>
        <v>0.46963562753036436</v>
      </c>
    </row>
    <row r="12" spans="1:13" ht="14" customHeight="1" x14ac:dyDescent="0.25">
      <c r="A12" s="211"/>
      <c r="B12" s="109">
        <v>44500</v>
      </c>
      <c r="C12" s="110">
        <f t="shared" si="0"/>
        <v>225.3</v>
      </c>
      <c r="D12" s="111">
        <v>106.2</v>
      </c>
      <c r="E12" s="112">
        <v>119.1</v>
      </c>
      <c r="F12" s="113">
        <f t="shared" si="1"/>
        <v>3</v>
      </c>
      <c r="G12" s="112"/>
      <c r="H12" s="112"/>
      <c r="I12" s="112">
        <v>1.8</v>
      </c>
      <c r="J12" s="112">
        <v>1.2</v>
      </c>
      <c r="K12" s="112">
        <v>38.341799999999999</v>
      </c>
      <c r="L12" s="111">
        <f t="shared" si="2"/>
        <v>12.7806</v>
      </c>
      <c r="M12" s="114">
        <f t="shared" si="3"/>
        <v>0.47137150466045274</v>
      </c>
    </row>
    <row r="13" spans="1:13" ht="14" customHeight="1" x14ac:dyDescent="0.25">
      <c r="A13" s="211"/>
      <c r="B13" s="109">
        <v>44530</v>
      </c>
      <c r="C13" s="110">
        <f t="shared" si="0"/>
        <v>238.5</v>
      </c>
      <c r="D13" s="111">
        <v>109.2</v>
      </c>
      <c r="E13" s="112">
        <v>129.30000000000001</v>
      </c>
      <c r="F13" s="113">
        <f t="shared" si="1"/>
        <v>13.3</v>
      </c>
      <c r="G13" s="112"/>
      <c r="H13" s="112"/>
      <c r="I13" s="112">
        <v>3</v>
      </c>
      <c r="J13" s="112">
        <v>10.3</v>
      </c>
      <c r="K13" s="112">
        <v>44.985799999999998</v>
      </c>
      <c r="L13" s="111">
        <f t="shared" si="2"/>
        <v>3.3823909774436087</v>
      </c>
      <c r="M13" s="114">
        <f t="shared" si="3"/>
        <v>0.4578616352201258</v>
      </c>
    </row>
    <row r="14" spans="1:13" ht="14" customHeight="1" x14ac:dyDescent="0.25">
      <c r="A14" s="211"/>
      <c r="B14" s="115">
        <v>44561</v>
      </c>
      <c r="C14" s="116">
        <f t="shared" si="0"/>
        <v>261.7</v>
      </c>
      <c r="D14" s="117">
        <v>114.7</v>
      </c>
      <c r="E14" s="118">
        <v>147</v>
      </c>
      <c r="F14" s="119">
        <f t="shared" si="1"/>
        <v>23.2</v>
      </c>
      <c r="G14" s="118"/>
      <c r="H14" s="118"/>
      <c r="I14" s="118">
        <v>5.5</v>
      </c>
      <c r="J14" s="118">
        <v>17.7</v>
      </c>
      <c r="K14" s="118">
        <v>53.093899999999998</v>
      </c>
      <c r="L14" s="117">
        <f t="shared" si="2"/>
        <v>2.2885301724137932</v>
      </c>
      <c r="M14" s="120">
        <f t="shared" si="3"/>
        <v>0.43828811616354607</v>
      </c>
    </row>
    <row r="15" spans="1:13" ht="14" customHeight="1" x14ac:dyDescent="0.25">
      <c r="A15" s="211"/>
      <c r="B15" s="109">
        <v>44562</v>
      </c>
      <c r="C15" s="110">
        <f t="shared" si="0"/>
        <v>273.10000000000002</v>
      </c>
      <c r="D15" s="111">
        <v>117.8</v>
      </c>
      <c r="E15" s="112">
        <v>155.30000000000001</v>
      </c>
      <c r="F15" s="113">
        <f t="shared" si="1"/>
        <v>11.4</v>
      </c>
      <c r="G15" s="112"/>
      <c r="H15" s="112"/>
      <c r="I15" s="112">
        <v>3.1</v>
      </c>
      <c r="J15" s="112">
        <v>8.3000000000000007</v>
      </c>
      <c r="K15" s="112">
        <v>43.143599999999999</v>
      </c>
      <c r="L15" s="111">
        <f t="shared" si="2"/>
        <v>3.7845263157894733</v>
      </c>
      <c r="M15" s="114">
        <f t="shared" si="3"/>
        <v>0.43134383009886484</v>
      </c>
    </row>
    <row r="16" spans="1:13" ht="14" customHeight="1" x14ac:dyDescent="0.25">
      <c r="A16" s="211"/>
      <c r="B16" s="109">
        <v>44593</v>
      </c>
      <c r="C16" s="110">
        <f t="shared" si="0"/>
        <v>286.39999999999998</v>
      </c>
      <c r="D16" s="111">
        <v>121.3</v>
      </c>
      <c r="E16" s="112">
        <v>165.1</v>
      </c>
      <c r="F16" s="113">
        <f t="shared" si="1"/>
        <v>13.4</v>
      </c>
      <c r="G16" s="112"/>
      <c r="H16" s="112"/>
      <c r="I16" s="112">
        <v>3.6</v>
      </c>
      <c r="J16" s="112">
        <v>9.8000000000000007</v>
      </c>
      <c r="K16" s="112">
        <v>33.373100000000001</v>
      </c>
      <c r="L16" s="111">
        <f t="shared" si="2"/>
        <v>2.4905298507462685</v>
      </c>
      <c r="M16" s="114">
        <f t="shared" si="3"/>
        <v>0.42353351955307267</v>
      </c>
    </row>
    <row r="17" spans="1:13" ht="14" customHeight="1" x14ac:dyDescent="0.25">
      <c r="A17" s="211"/>
      <c r="B17" s="109">
        <v>44621</v>
      </c>
      <c r="C17" s="110">
        <f t="shared" si="0"/>
        <v>310.89999999999998</v>
      </c>
      <c r="D17" s="111">
        <v>123.2</v>
      </c>
      <c r="E17" s="112">
        <v>187.7</v>
      </c>
      <c r="F17" s="113">
        <f t="shared" si="1"/>
        <v>24.5</v>
      </c>
      <c r="G17" s="112"/>
      <c r="H17" s="112"/>
      <c r="I17" s="112">
        <v>1.9</v>
      </c>
      <c r="J17" s="112">
        <v>22.6</v>
      </c>
      <c r="K17" s="112">
        <v>48.429900000000004</v>
      </c>
      <c r="L17" s="111">
        <f t="shared" si="2"/>
        <v>1.9767306122448982</v>
      </c>
      <c r="M17" s="114">
        <f t="shared" si="3"/>
        <v>0.39626889675136706</v>
      </c>
    </row>
    <row r="18" spans="1:13" ht="14" customHeight="1" x14ac:dyDescent="0.25">
      <c r="A18" s="211"/>
      <c r="B18" s="109">
        <v>44652</v>
      </c>
      <c r="C18" s="110">
        <f t="shared" si="0"/>
        <v>332.4</v>
      </c>
      <c r="D18" s="111">
        <v>133.19999999999999</v>
      </c>
      <c r="E18" s="112">
        <v>199.2</v>
      </c>
      <c r="F18" s="113">
        <f t="shared" si="1"/>
        <v>21.5</v>
      </c>
      <c r="G18" s="112"/>
      <c r="H18" s="112"/>
      <c r="I18" s="112">
        <v>10</v>
      </c>
      <c r="J18" s="112">
        <v>11.5</v>
      </c>
      <c r="K18" s="112">
        <v>29.886800000000001</v>
      </c>
      <c r="L18" s="111">
        <f t="shared" si="2"/>
        <v>1.3900837209302326</v>
      </c>
      <c r="M18" s="114">
        <f t="shared" si="3"/>
        <v>0.4007220216606498</v>
      </c>
    </row>
    <row r="19" spans="1:13" ht="14" customHeight="1" x14ac:dyDescent="0.25">
      <c r="A19" s="211"/>
      <c r="B19" s="109">
        <v>44682</v>
      </c>
      <c r="C19" s="110">
        <f t="shared" si="0"/>
        <v>358</v>
      </c>
      <c r="D19" s="111">
        <v>141.9</v>
      </c>
      <c r="E19" s="112">
        <v>216.1</v>
      </c>
      <c r="F19" s="113">
        <f t="shared" si="1"/>
        <v>25.599999999999998</v>
      </c>
      <c r="G19" s="112"/>
      <c r="H19" s="112"/>
      <c r="I19" s="112">
        <v>8.6999999999999993</v>
      </c>
      <c r="J19" s="112">
        <v>16.899999999999999</v>
      </c>
      <c r="K19" s="112">
        <v>44.717399999999998</v>
      </c>
      <c r="L19" s="111">
        <f t="shared" si="2"/>
        <v>1.7467734375000001</v>
      </c>
      <c r="M19" s="114">
        <f t="shared" si="3"/>
        <v>0.39636871508379889</v>
      </c>
    </row>
    <row r="20" spans="1:13" ht="14" customHeight="1" x14ac:dyDescent="0.25">
      <c r="A20" s="211"/>
      <c r="B20" s="109">
        <v>44713</v>
      </c>
      <c r="C20" s="110">
        <f t="shared" si="0"/>
        <v>391.8</v>
      </c>
      <c r="D20" s="111">
        <v>152.80000000000001</v>
      </c>
      <c r="E20" s="112">
        <v>239</v>
      </c>
      <c r="F20" s="113">
        <f t="shared" si="1"/>
        <v>33.700000000000003</v>
      </c>
      <c r="G20" s="112"/>
      <c r="H20" s="112"/>
      <c r="I20" s="112">
        <v>10.8</v>
      </c>
      <c r="J20" s="112">
        <v>22.9</v>
      </c>
      <c r="K20" s="112">
        <v>59.643900000000002</v>
      </c>
      <c r="L20" s="111">
        <f t="shared" si="2"/>
        <v>1.7698486646884273</v>
      </c>
      <c r="M20" s="114">
        <f t="shared" si="3"/>
        <v>0.38999489535477289</v>
      </c>
    </row>
    <row r="21" spans="1:13" ht="14" customHeight="1" x14ac:dyDescent="0.25">
      <c r="A21" s="211"/>
      <c r="B21" s="109">
        <v>44743</v>
      </c>
      <c r="C21" s="110">
        <f t="shared" si="0"/>
        <v>398</v>
      </c>
      <c r="D21" s="111">
        <v>157.5</v>
      </c>
      <c r="E21" s="112">
        <v>240.5</v>
      </c>
      <c r="F21" s="113">
        <f t="shared" si="1"/>
        <v>6.1</v>
      </c>
      <c r="G21" s="112"/>
      <c r="H21" s="112"/>
      <c r="I21" s="112">
        <v>4.7</v>
      </c>
      <c r="J21" s="112">
        <v>1.4</v>
      </c>
      <c r="K21" s="112">
        <v>59.288699999999999</v>
      </c>
      <c r="L21" s="111">
        <f t="shared" si="2"/>
        <v>9.7194590163934436</v>
      </c>
      <c r="M21" s="114">
        <f t="shared" si="3"/>
        <v>0.39572864321608042</v>
      </c>
    </row>
    <row r="22" spans="1:13" ht="14" customHeight="1" x14ac:dyDescent="0.25">
      <c r="A22" s="211"/>
      <c r="B22" s="109">
        <v>44774</v>
      </c>
      <c r="C22" s="110">
        <f t="shared" si="0"/>
        <v>431.40000000000003</v>
      </c>
      <c r="D22" s="111">
        <v>162.30000000000001</v>
      </c>
      <c r="E22" s="111">
        <v>269.10000000000002</v>
      </c>
      <c r="F22" s="113">
        <f t="shared" si="1"/>
        <v>33.40000000000002</v>
      </c>
      <c r="G22" s="111"/>
      <c r="H22" s="111"/>
      <c r="I22" s="111">
        <v>4.8</v>
      </c>
      <c r="J22" s="111">
        <f>E22-E21</f>
        <v>28.600000000000023</v>
      </c>
      <c r="K22" s="111">
        <v>66.619100000000003</v>
      </c>
      <c r="L22" s="111">
        <f t="shared" si="2"/>
        <v>1.9945838323353282</v>
      </c>
      <c r="M22" s="114">
        <f t="shared" si="3"/>
        <v>0.37621696801112658</v>
      </c>
    </row>
    <row r="23" spans="1:13" ht="14" customHeight="1" x14ac:dyDescent="0.25">
      <c r="A23" s="211"/>
      <c r="B23" s="109">
        <v>44805</v>
      </c>
      <c r="C23" s="110">
        <f t="shared" si="0"/>
        <v>448.79999999999995</v>
      </c>
      <c r="D23" s="111">
        <v>163.6</v>
      </c>
      <c r="E23" s="111">
        <v>285.2</v>
      </c>
      <c r="F23" s="113">
        <f t="shared" si="1"/>
        <v>17.299999999999965</v>
      </c>
      <c r="G23" s="111"/>
      <c r="H23" s="111"/>
      <c r="I23" s="111">
        <v>1.2</v>
      </c>
      <c r="J23" s="111">
        <f>E23-E22</f>
        <v>16.099999999999966</v>
      </c>
      <c r="K23" s="111">
        <v>70.752899999999997</v>
      </c>
      <c r="L23" s="111">
        <f t="shared" si="2"/>
        <v>4.0897630057803545</v>
      </c>
      <c r="M23" s="114">
        <f t="shared" si="3"/>
        <v>0.36452762923351162</v>
      </c>
    </row>
    <row r="24" spans="1:13" ht="14" customHeight="1" x14ac:dyDescent="0.25">
      <c r="A24" s="211"/>
      <c r="B24" s="109">
        <v>44835</v>
      </c>
      <c r="C24" s="110">
        <f t="shared" si="0"/>
        <v>470.8</v>
      </c>
      <c r="D24" s="111">
        <v>168</v>
      </c>
      <c r="E24" s="111">
        <v>302.8</v>
      </c>
      <c r="F24" s="113">
        <f t="shared" si="1"/>
        <v>22.000000000000021</v>
      </c>
      <c r="G24" s="111"/>
      <c r="H24" s="111"/>
      <c r="I24" s="111">
        <v>4.4000000000000004</v>
      </c>
      <c r="J24" s="111">
        <f>E24-E23</f>
        <v>17.600000000000023</v>
      </c>
      <c r="K24" s="111">
        <v>71.360100000000003</v>
      </c>
      <c r="L24" s="111">
        <f t="shared" si="2"/>
        <v>3.2436409090909062</v>
      </c>
      <c r="M24" s="114">
        <f t="shared" si="3"/>
        <v>0.356839422259983</v>
      </c>
    </row>
    <row r="25" spans="1:13" ht="14" customHeight="1" x14ac:dyDescent="0.25">
      <c r="A25" s="211"/>
      <c r="B25" s="109">
        <v>44866</v>
      </c>
      <c r="C25" s="110">
        <f t="shared" si="0"/>
        <v>494.9</v>
      </c>
      <c r="D25" s="111">
        <v>173.1</v>
      </c>
      <c r="E25" s="111">
        <v>321.8</v>
      </c>
      <c r="F25" s="113">
        <f t="shared" si="1"/>
        <v>23.4</v>
      </c>
      <c r="G25" s="111"/>
      <c r="H25" s="111"/>
      <c r="I25" s="111">
        <v>4.4000000000000004</v>
      </c>
      <c r="J25" s="111">
        <f>E25-E24</f>
        <v>19</v>
      </c>
      <c r="K25" s="111">
        <v>78.628500000000003</v>
      </c>
      <c r="L25" s="111">
        <f t="shared" si="2"/>
        <v>3.3601923076923081</v>
      </c>
      <c r="M25" s="114">
        <f t="shared" si="3"/>
        <v>0.34976762982420689</v>
      </c>
    </row>
    <row r="26" spans="1:13" ht="14" customHeight="1" x14ac:dyDescent="0.25">
      <c r="B26" s="115">
        <v>44896</v>
      </c>
      <c r="C26" s="116">
        <f t="shared" si="0"/>
        <v>520.9</v>
      </c>
      <c r="D26" s="117">
        <v>179.7</v>
      </c>
      <c r="E26" s="117">
        <v>341.2</v>
      </c>
      <c r="F26" s="119">
        <f t="shared" si="1"/>
        <v>25.999999999999979</v>
      </c>
      <c r="G26" s="117"/>
      <c r="H26" s="117"/>
      <c r="I26" s="117">
        <v>6.6</v>
      </c>
      <c r="J26" s="117">
        <f>E26-E25</f>
        <v>19.399999999999977</v>
      </c>
      <c r="K26" s="117">
        <v>81.384200000000007</v>
      </c>
      <c r="L26" s="117">
        <f t="shared" si="2"/>
        <v>3.1301615384615413</v>
      </c>
      <c r="M26" s="120">
        <f t="shared" si="3"/>
        <v>0.34497984258014974</v>
      </c>
    </row>
    <row r="27" spans="1:13" ht="14" customHeight="1" x14ac:dyDescent="0.25">
      <c r="B27" s="109">
        <v>44927</v>
      </c>
      <c r="C27" s="110">
        <v>541.1</v>
      </c>
      <c r="D27" s="111">
        <v>183.9</v>
      </c>
      <c r="E27" s="111">
        <v>357.3</v>
      </c>
      <c r="F27" s="113">
        <f t="shared" si="1"/>
        <v>22.700000000000003</v>
      </c>
      <c r="G27" s="111"/>
      <c r="H27" s="111"/>
      <c r="I27" s="111">
        <v>6.6</v>
      </c>
      <c r="J27" s="111">
        <v>16.100000000000001</v>
      </c>
      <c r="K27" s="111">
        <v>40.784500000000001</v>
      </c>
      <c r="L27" s="111">
        <f t="shared" si="2"/>
        <v>1.7966740088105726</v>
      </c>
      <c r="M27" s="114">
        <f t="shared" si="3"/>
        <v>0.33986324154500092</v>
      </c>
    </row>
    <row r="28" spans="1:13" ht="14" customHeight="1" x14ac:dyDescent="0.25">
      <c r="B28" s="109">
        <v>44958</v>
      </c>
      <c r="C28" s="110">
        <v>558.79999999999995</v>
      </c>
      <c r="D28" s="111">
        <v>186.9</v>
      </c>
      <c r="E28" s="111">
        <v>371.9</v>
      </c>
      <c r="F28" s="113">
        <f t="shared" si="1"/>
        <v>17.7</v>
      </c>
      <c r="G28" s="111"/>
      <c r="H28" s="111"/>
      <c r="I28" s="111">
        <v>3.1</v>
      </c>
      <c r="J28" s="111">
        <v>14.6</v>
      </c>
      <c r="K28" s="111">
        <v>52.489699999999999</v>
      </c>
      <c r="L28" s="111">
        <f t="shared" si="2"/>
        <v>2.9655197740112995</v>
      </c>
      <c r="M28" s="114">
        <f t="shared" si="3"/>
        <v>0.33446671438797426</v>
      </c>
    </row>
    <row r="29" spans="1:13" ht="14" customHeight="1" x14ac:dyDescent="0.25">
      <c r="B29" s="109">
        <v>44986</v>
      </c>
      <c r="C29" s="110">
        <f>D29+E29</f>
        <v>584.20000000000005</v>
      </c>
      <c r="D29" s="111">
        <v>195.8</v>
      </c>
      <c r="E29" s="111">
        <v>388.4</v>
      </c>
      <c r="F29" s="113">
        <f t="shared" si="1"/>
        <v>25.4</v>
      </c>
      <c r="G29" s="111"/>
      <c r="H29" s="111"/>
      <c r="I29" s="111">
        <v>8.9</v>
      </c>
      <c r="J29" s="111">
        <f>E29-E28</f>
        <v>16.5</v>
      </c>
      <c r="K29" s="111">
        <v>65.269900000000007</v>
      </c>
      <c r="L29" s="111">
        <f t="shared" si="2"/>
        <v>2.569681102362205</v>
      </c>
      <c r="M29" s="114">
        <f t="shared" si="3"/>
        <v>0.33515919205751454</v>
      </c>
    </row>
    <row r="30" spans="1:13" ht="14" customHeight="1" x14ac:dyDescent="0.25">
      <c r="B30" s="109">
        <v>45017</v>
      </c>
      <c r="C30" s="110">
        <v>609.20000000000005</v>
      </c>
      <c r="D30" s="111">
        <v>202.5</v>
      </c>
      <c r="E30" s="111">
        <v>406.7</v>
      </c>
      <c r="F30" s="113">
        <f t="shared" si="1"/>
        <v>25</v>
      </c>
      <c r="G30" s="111"/>
      <c r="H30" s="111"/>
      <c r="I30" s="111">
        <v>6.7</v>
      </c>
      <c r="J30" s="111">
        <v>18.3</v>
      </c>
      <c r="K30" s="111">
        <v>63.646299999999997</v>
      </c>
      <c r="L30" s="111">
        <f t="shared" si="2"/>
        <v>2.545852</v>
      </c>
      <c r="M30" s="114">
        <f t="shared" si="3"/>
        <v>0.33240315167432694</v>
      </c>
    </row>
    <row r="31" spans="1:13" ht="14" customHeight="1" x14ac:dyDescent="0.25">
      <c r="B31" s="109">
        <v>45047</v>
      </c>
      <c r="C31" s="110">
        <v>635.6</v>
      </c>
      <c r="D31" s="111">
        <v>208.4</v>
      </c>
      <c r="E31" s="111">
        <v>427.2</v>
      </c>
      <c r="F31" s="113">
        <f t="shared" si="1"/>
        <v>26.4</v>
      </c>
      <c r="G31" s="111"/>
      <c r="H31" s="111"/>
      <c r="I31" s="111">
        <v>5.9</v>
      </c>
      <c r="J31" s="111">
        <f t="shared" ref="J31:J62" si="4">E31-E30</f>
        <v>20.5</v>
      </c>
      <c r="K31" s="111">
        <v>71.7</v>
      </c>
      <c r="L31" s="111">
        <f t="shared" si="2"/>
        <v>2.7159090909090913</v>
      </c>
      <c r="M31" s="114">
        <f t="shared" si="3"/>
        <v>0.32787916928886091</v>
      </c>
    </row>
    <row r="32" spans="1:13" ht="14" customHeight="1" x14ac:dyDescent="0.25">
      <c r="B32" s="109">
        <v>45078</v>
      </c>
      <c r="C32" s="110">
        <v>665.2</v>
      </c>
      <c r="D32" s="111">
        <v>214.9</v>
      </c>
      <c r="E32" s="111">
        <f t="shared" ref="E32:E41" si="5">C32-D32</f>
        <v>450.30000000000007</v>
      </c>
      <c r="F32" s="113">
        <f t="shared" si="1"/>
        <v>29.60000000000008</v>
      </c>
      <c r="G32" s="111"/>
      <c r="H32" s="111"/>
      <c r="I32" s="111">
        <v>6.5</v>
      </c>
      <c r="J32" s="111">
        <f t="shared" si="4"/>
        <v>23.10000000000008</v>
      </c>
      <c r="K32" s="111">
        <v>80.599999999999994</v>
      </c>
      <c r="L32" s="111">
        <f t="shared" si="2"/>
        <v>2.7229729729729653</v>
      </c>
      <c r="M32" s="114">
        <f t="shared" si="3"/>
        <v>0.32306073361395066</v>
      </c>
    </row>
    <row r="33" spans="2:13" ht="14" customHeight="1" x14ac:dyDescent="0.25">
      <c r="B33" s="109">
        <v>45108</v>
      </c>
      <c r="C33" s="110">
        <v>692.8</v>
      </c>
      <c r="D33" s="111">
        <v>221.1</v>
      </c>
      <c r="E33" s="111">
        <f t="shared" si="5"/>
        <v>471.69999999999993</v>
      </c>
      <c r="F33" s="113">
        <f t="shared" si="1"/>
        <v>27.599999999999863</v>
      </c>
      <c r="G33" s="111"/>
      <c r="H33" s="111"/>
      <c r="I33" s="111">
        <v>6.2</v>
      </c>
      <c r="J33" s="111">
        <f t="shared" si="4"/>
        <v>21.399999999999864</v>
      </c>
      <c r="K33" s="111">
        <v>78</v>
      </c>
      <c r="L33" s="111">
        <f t="shared" si="2"/>
        <v>2.826086956521753</v>
      </c>
      <c r="M33" s="114">
        <f t="shared" si="3"/>
        <v>0.31913972286374137</v>
      </c>
    </row>
    <row r="34" spans="2:13" ht="14" customHeight="1" x14ac:dyDescent="0.25">
      <c r="B34" s="109">
        <v>45139</v>
      </c>
      <c r="C34" s="110">
        <v>720.8</v>
      </c>
      <c r="D34" s="111">
        <v>227.2</v>
      </c>
      <c r="E34" s="111">
        <f t="shared" si="5"/>
        <v>493.59999999999997</v>
      </c>
      <c r="F34" s="113">
        <f t="shared" si="1"/>
        <v>28.000000000000036</v>
      </c>
      <c r="G34" s="111"/>
      <c r="H34" s="111"/>
      <c r="I34" s="111">
        <v>6.1</v>
      </c>
      <c r="J34" s="111">
        <f t="shared" si="4"/>
        <v>21.900000000000034</v>
      </c>
      <c r="K34" s="111">
        <v>84.6</v>
      </c>
      <c r="L34" s="111">
        <f t="shared" si="2"/>
        <v>3.0214285714285674</v>
      </c>
      <c r="M34" s="114">
        <f t="shared" si="3"/>
        <v>0.31520532741398449</v>
      </c>
    </row>
    <row r="35" spans="2:13" ht="14" customHeight="1" x14ac:dyDescent="0.25">
      <c r="B35" s="109">
        <v>45170</v>
      </c>
      <c r="C35" s="110">
        <v>764.2</v>
      </c>
      <c r="D35" s="111">
        <v>246.2</v>
      </c>
      <c r="E35" s="111">
        <f t="shared" si="5"/>
        <v>518</v>
      </c>
      <c r="F35" s="113">
        <f t="shared" ref="F35:F62" si="6">I35+J35</f>
        <v>43.400000000000034</v>
      </c>
      <c r="G35" s="111"/>
      <c r="H35" s="111"/>
      <c r="I35" s="111">
        <v>19</v>
      </c>
      <c r="J35" s="111">
        <f t="shared" si="4"/>
        <v>24.400000000000034</v>
      </c>
      <c r="K35" s="111">
        <v>90.4</v>
      </c>
      <c r="L35" s="111">
        <f t="shared" ref="L35:L62" si="7">K35/F35</f>
        <v>2.0829493087557589</v>
      </c>
      <c r="M35" s="114">
        <f t="shared" ref="M35:M62" si="8">D35/C35</f>
        <v>0.32216697199685945</v>
      </c>
    </row>
    <row r="36" spans="2:13" ht="14" customHeight="1" x14ac:dyDescent="0.25">
      <c r="B36" s="109">
        <v>45200</v>
      </c>
      <c r="C36" s="110">
        <v>795.4</v>
      </c>
      <c r="D36" s="111">
        <v>252.5</v>
      </c>
      <c r="E36" s="111">
        <f t="shared" si="5"/>
        <v>542.9</v>
      </c>
      <c r="F36" s="113">
        <f t="shared" si="6"/>
        <v>31.199999999999978</v>
      </c>
      <c r="G36" s="121">
        <f>F36/F24-1</f>
        <v>0.41818181818181577</v>
      </c>
      <c r="H36" s="121">
        <f t="shared" ref="H36:H46" si="9">F36/F35-1</f>
        <v>-0.28110599078341125</v>
      </c>
      <c r="I36" s="111">
        <v>6.3</v>
      </c>
      <c r="J36" s="111">
        <f t="shared" si="4"/>
        <v>24.899999999999977</v>
      </c>
      <c r="K36" s="111">
        <f>728-627.8</f>
        <v>100.20000000000005</v>
      </c>
      <c r="L36" s="111">
        <f t="shared" si="7"/>
        <v>3.2115384615384652</v>
      </c>
      <c r="M36" s="114">
        <f t="shared" si="8"/>
        <v>0.31745033945184814</v>
      </c>
    </row>
    <row r="37" spans="2:13" ht="14" customHeight="1" x14ac:dyDescent="0.25">
      <c r="B37" s="109">
        <v>45231</v>
      </c>
      <c r="C37" s="110">
        <v>826.4</v>
      </c>
      <c r="D37" s="111">
        <v>262.60000000000002</v>
      </c>
      <c r="E37" s="111">
        <f t="shared" si="5"/>
        <v>563.79999999999995</v>
      </c>
      <c r="F37" s="113">
        <f t="shared" si="6"/>
        <v>30.999999999999979</v>
      </c>
      <c r="G37" s="121">
        <f t="shared" ref="G37:G46" si="10">F37/F25-1</f>
        <v>0.32478632478632385</v>
      </c>
      <c r="H37" s="121">
        <f t="shared" si="9"/>
        <v>-6.4102564102563875E-3</v>
      </c>
      <c r="I37" s="111">
        <v>10.1</v>
      </c>
      <c r="J37" s="111">
        <f t="shared" si="4"/>
        <v>20.899999999999977</v>
      </c>
      <c r="K37" s="111">
        <v>102.6</v>
      </c>
      <c r="L37" s="111">
        <f t="shared" si="7"/>
        <v>3.3096774193548408</v>
      </c>
      <c r="M37" s="114">
        <f t="shared" si="8"/>
        <v>0.31776379477250732</v>
      </c>
    </row>
    <row r="38" spans="2:13" ht="14" customHeight="1" x14ac:dyDescent="0.25">
      <c r="B38" s="115">
        <v>45261</v>
      </c>
      <c r="C38" s="116">
        <v>859.6</v>
      </c>
      <c r="D38" s="117">
        <v>272.60000000000002</v>
      </c>
      <c r="E38" s="117">
        <f t="shared" si="5"/>
        <v>587</v>
      </c>
      <c r="F38" s="119">
        <f t="shared" si="6"/>
        <v>33.200000000000045</v>
      </c>
      <c r="G38" s="122">
        <f t="shared" si="10"/>
        <v>0.27692307692307971</v>
      </c>
      <c r="H38" s="122">
        <f t="shared" si="9"/>
        <v>7.0967741935486162E-2</v>
      </c>
      <c r="I38" s="117">
        <v>10</v>
      </c>
      <c r="J38" s="117">
        <f t="shared" si="4"/>
        <v>23.200000000000045</v>
      </c>
      <c r="K38" s="117">
        <v>119.20959999999999</v>
      </c>
      <c r="L38" s="117">
        <f t="shared" si="7"/>
        <v>3.5906506024096334</v>
      </c>
      <c r="M38" s="120">
        <f t="shared" si="8"/>
        <v>0.31712424383434157</v>
      </c>
    </row>
    <row r="39" spans="2:13" ht="14" customHeight="1" x14ac:dyDescent="0.25">
      <c r="B39" s="109">
        <v>45292</v>
      </c>
      <c r="C39" s="110">
        <v>886.1</v>
      </c>
      <c r="D39" s="111">
        <v>278.2</v>
      </c>
      <c r="E39" s="111">
        <f t="shared" si="5"/>
        <v>607.90000000000009</v>
      </c>
      <c r="F39" s="113">
        <f t="shared" si="6"/>
        <v>26.51000000000009</v>
      </c>
      <c r="G39" s="121">
        <f t="shared" si="10"/>
        <v>0.16784140969163386</v>
      </c>
      <c r="H39" s="121">
        <f t="shared" si="9"/>
        <v>-0.20150602409638396</v>
      </c>
      <c r="I39" s="111">
        <v>5.61</v>
      </c>
      <c r="J39" s="111">
        <f t="shared" si="4"/>
        <v>20.900000000000091</v>
      </c>
      <c r="K39" s="111">
        <v>72.900000000000006</v>
      </c>
      <c r="L39" s="111">
        <f t="shared" si="7"/>
        <v>2.7499056959637782</v>
      </c>
      <c r="M39" s="114">
        <f t="shared" si="8"/>
        <v>0.31396004965579505</v>
      </c>
    </row>
    <row r="40" spans="2:13" ht="14" customHeight="1" x14ac:dyDescent="0.25">
      <c r="B40" s="109">
        <v>45323</v>
      </c>
      <c r="C40" s="110">
        <v>902.3</v>
      </c>
      <c r="D40" s="111">
        <v>282.60000000000002</v>
      </c>
      <c r="E40" s="111">
        <f t="shared" si="5"/>
        <v>619.69999999999993</v>
      </c>
      <c r="F40" s="113">
        <f t="shared" si="6"/>
        <v>16.199999999999839</v>
      </c>
      <c r="G40" s="121">
        <f t="shared" si="10"/>
        <v>-8.4745762711873396E-2</v>
      </c>
      <c r="H40" s="121">
        <f t="shared" si="9"/>
        <v>-0.38890984534138873</v>
      </c>
      <c r="I40" s="111">
        <v>4.4000000000000004</v>
      </c>
      <c r="J40" s="111">
        <f t="shared" si="4"/>
        <v>11.799999999999841</v>
      </c>
      <c r="K40" s="111">
        <v>47.7</v>
      </c>
      <c r="L40" s="111">
        <f t="shared" si="7"/>
        <v>2.944444444444474</v>
      </c>
      <c r="M40" s="114">
        <f t="shared" si="8"/>
        <v>0.31319960101961658</v>
      </c>
    </row>
    <row r="41" spans="2:13" ht="14" customHeight="1" x14ac:dyDescent="0.25">
      <c r="B41" s="109">
        <v>45352</v>
      </c>
      <c r="C41" s="110">
        <v>931.2</v>
      </c>
      <c r="D41" s="111">
        <v>290.89999999999998</v>
      </c>
      <c r="E41" s="111">
        <f t="shared" si="5"/>
        <v>640.30000000000007</v>
      </c>
      <c r="F41" s="113">
        <f t="shared" si="6"/>
        <v>28.900000000000137</v>
      </c>
      <c r="G41" s="121">
        <f t="shared" si="10"/>
        <v>0.13779527559055671</v>
      </c>
      <c r="H41" s="121">
        <f t="shared" si="9"/>
        <v>0.78395061728397675</v>
      </c>
      <c r="I41" s="111">
        <v>8.3000000000000007</v>
      </c>
      <c r="J41" s="111">
        <f t="shared" si="4"/>
        <v>20.600000000000136</v>
      </c>
      <c r="K41" s="111">
        <v>88.3</v>
      </c>
      <c r="L41" s="111">
        <f t="shared" si="7"/>
        <v>3.0553633217992933</v>
      </c>
      <c r="M41" s="114">
        <f t="shared" si="8"/>
        <v>0.31239261168384874</v>
      </c>
    </row>
    <row r="42" spans="2:13" ht="14" customHeight="1" x14ac:dyDescent="0.25">
      <c r="B42" s="109">
        <v>45383</v>
      </c>
      <c r="C42" s="110">
        <v>961.3</v>
      </c>
      <c r="D42" s="111">
        <v>297.7</v>
      </c>
      <c r="E42" s="111">
        <v>663.7</v>
      </c>
      <c r="F42" s="113">
        <f t="shared" si="6"/>
        <v>30.199999999999989</v>
      </c>
      <c r="G42" s="121">
        <f t="shared" si="10"/>
        <v>0.20799999999999952</v>
      </c>
      <c r="H42" s="121">
        <f t="shared" si="9"/>
        <v>4.498269896193241E-2</v>
      </c>
      <c r="I42" s="111">
        <f t="shared" ref="I42:I62" si="11">D42-D41</f>
        <v>6.8000000000000114</v>
      </c>
      <c r="J42" s="111">
        <f t="shared" si="4"/>
        <v>23.399999999999977</v>
      </c>
      <c r="K42" s="111">
        <v>85</v>
      </c>
      <c r="L42" s="111">
        <f t="shared" si="7"/>
        <v>2.8145695364238423</v>
      </c>
      <c r="M42" s="114">
        <f t="shared" si="8"/>
        <v>0.30968480183085406</v>
      </c>
    </row>
    <row r="43" spans="2:13" ht="14" customHeight="1" x14ac:dyDescent="0.25">
      <c r="B43" s="109">
        <v>45413</v>
      </c>
      <c r="C43" s="110">
        <v>992.4</v>
      </c>
      <c r="D43" s="111">
        <v>304.89999999999998</v>
      </c>
      <c r="E43" s="111">
        <v>687.4</v>
      </c>
      <c r="F43" s="113">
        <f t="shared" si="6"/>
        <v>30.89999999999992</v>
      </c>
      <c r="G43" s="121">
        <f t="shared" si="10"/>
        <v>0.17045454545454253</v>
      </c>
      <c r="H43" s="121">
        <f t="shared" si="9"/>
        <v>2.3178807947017654E-2</v>
      </c>
      <c r="I43" s="111">
        <f t="shared" si="11"/>
        <v>7.1999999999999886</v>
      </c>
      <c r="J43" s="111">
        <f t="shared" si="4"/>
        <v>23.699999999999932</v>
      </c>
      <c r="K43" s="111">
        <v>86</v>
      </c>
      <c r="L43" s="111">
        <f t="shared" si="7"/>
        <v>2.7831715210356061</v>
      </c>
      <c r="M43" s="114">
        <f t="shared" si="8"/>
        <v>0.30723498589278514</v>
      </c>
    </row>
    <row r="44" spans="2:13" ht="14" customHeight="1" x14ac:dyDescent="0.25">
      <c r="B44" s="109">
        <v>45444</v>
      </c>
      <c r="C44" s="110">
        <v>1024.3</v>
      </c>
      <c r="D44" s="111">
        <v>312.2</v>
      </c>
      <c r="E44" s="111">
        <v>712.2</v>
      </c>
      <c r="F44" s="113">
        <f t="shared" si="6"/>
        <v>32.10000000000008</v>
      </c>
      <c r="G44" s="121">
        <f t="shared" si="10"/>
        <v>8.4459459459459207E-2</v>
      </c>
      <c r="H44" s="121">
        <f t="shared" si="9"/>
        <v>3.8834951456315991E-2</v>
      </c>
      <c r="I44" s="111">
        <f t="shared" si="11"/>
        <v>7.3000000000000114</v>
      </c>
      <c r="J44" s="111">
        <f t="shared" si="4"/>
        <v>24.800000000000068</v>
      </c>
      <c r="K44" s="111">
        <v>104.9</v>
      </c>
      <c r="L44" s="111">
        <f t="shared" si="7"/>
        <v>3.267912772585662</v>
      </c>
      <c r="M44" s="114">
        <f t="shared" si="8"/>
        <v>0.30479351752416284</v>
      </c>
    </row>
    <row r="45" spans="2:13" ht="14" customHeight="1" x14ac:dyDescent="0.25">
      <c r="B45" s="109">
        <v>45474</v>
      </c>
      <c r="C45" s="110">
        <v>1060.4000000000001</v>
      </c>
      <c r="D45" s="111">
        <v>320.89999999999998</v>
      </c>
      <c r="E45" s="111">
        <v>739.4</v>
      </c>
      <c r="F45" s="113">
        <f t="shared" si="6"/>
        <v>35.89999999999992</v>
      </c>
      <c r="G45" s="121">
        <f t="shared" si="10"/>
        <v>0.30072463768116298</v>
      </c>
      <c r="H45" s="121">
        <f t="shared" si="9"/>
        <v>0.11838006230529063</v>
      </c>
      <c r="I45" s="111">
        <f t="shared" si="11"/>
        <v>8.6999999999999886</v>
      </c>
      <c r="J45" s="111">
        <f t="shared" si="4"/>
        <v>27.199999999999932</v>
      </c>
      <c r="K45" s="111">
        <v>99.1</v>
      </c>
      <c r="L45" s="111">
        <f t="shared" si="7"/>
        <v>2.7604456824512593</v>
      </c>
      <c r="M45" s="114">
        <f t="shared" si="8"/>
        <v>0.30262165220671439</v>
      </c>
    </row>
    <row r="46" spans="2:13" ht="14" customHeight="1" x14ac:dyDescent="0.25">
      <c r="B46" s="109">
        <v>45505</v>
      </c>
      <c r="C46" s="110">
        <v>1099.9000000000001</v>
      </c>
      <c r="D46" s="111">
        <v>326.3</v>
      </c>
      <c r="E46" s="111">
        <v>773.6</v>
      </c>
      <c r="F46" s="113">
        <f t="shared" si="6"/>
        <v>39.60000000000008</v>
      </c>
      <c r="G46" s="121">
        <f t="shared" si="10"/>
        <v>0.41428571428571526</v>
      </c>
      <c r="H46" s="121">
        <f t="shared" si="9"/>
        <v>0.10306406685237235</v>
      </c>
      <c r="I46" s="111">
        <f t="shared" si="11"/>
        <v>5.4000000000000341</v>
      </c>
      <c r="J46" s="111">
        <f t="shared" si="4"/>
        <v>34.200000000000045</v>
      </c>
      <c r="K46" s="111">
        <v>110</v>
      </c>
      <c r="L46" s="111">
        <f t="shared" si="7"/>
        <v>2.7777777777777724</v>
      </c>
      <c r="M46" s="114">
        <f t="shared" si="8"/>
        <v>0.29666333303027548</v>
      </c>
    </row>
    <row r="47" spans="2:13" ht="14" customHeight="1" x14ac:dyDescent="0.25">
      <c r="B47" s="109">
        <v>45536</v>
      </c>
      <c r="C47" s="110">
        <v>1143.3</v>
      </c>
      <c r="D47" s="111">
        <v>332.9</v>
      </c>
      <c r="E47" s="111">
        <v>810.4</v>
      </c>
      <c r="F47" s="113">
        <f t="shared" si="6"/>
        <v>43.39999999999992</v>
      </c>
      <c r="G47" s="121">
        <f t="shared" ref="G47:G48" si="12">F47/F35-1</f>
        <v>-2.6645352591003757E-15</v>
      </c>
      <c r="H47" s="121">
        <f t="shared" ref="H47:H48" si="13">F47/F46-1</f>
        <v>9.5959595959591804E-2</v>
      </c>
      <c r="I47" s="111">
        <f t="shared" si="11"/>
        <v>6.5999999999999659</v>
      </c>
      <c r="J47" s="111">
        <f t="shared" si="4"/>
        <v>36.799999999999955</v>
      </c>
      <c r="K47" s="111">
        <v>128.69999999999999</v>
      </c>
      <c r="L47" s="111">
        <f t="shared" si="7"/>
        <v>2.9654377880184382</v>
      </c>
      <c r="M47" s="114">
        <f t="shared" si="8"/>
        <v>0.29117466981544649</v>
      </c>
    </row>
    <row r="48" spans="2:13" ht="14" customHeight="1" x14ac:dyDescent="0.25">
      <c r="B48" s="109">
        <v>45566</v>
      </c>
      <c r="C48" s="110">
        <v>1188.4000000000001</v>
      </c>
      <c r="D48" s="111">
        <v>339.1</v>
      </c>
      <c r="E48" s="111">
        <v>859.3</v>
      </c>
      <c r="F48" s="113">
        <f t="shared" si="6"/>
        <v>55.100000000000023</v>
      </c>
      <c r="G48" s="121">
        <f t="shared" si="12"/>
        <v>0.76602564102564297</v>
      </c>
      <c r="H48" s="121">
        <f t="shared" si="13"/>
        <v>0.26958525345622397</v>
      </c>
      <c r="I48" s="111">
        <f t="shared" si="11"/>
        <v>6.2000000000000455</v>
      </c>
      <c r="J48" s="111">
        <f t="shared" si="4"/>
        <v>48.899999999999977</v>
      </c>
      <c r="K48" s="111">
        <v>143</v>
      </c>
      <c r="L48" s="111">
        <f t="shared" si="7"/>
        <v>2.5952813067150626</v>
      </c>
      <c r="M48" s="114">
        <f t="shared" si="8"/>
        <v>0.2853416358128576</v>
      </c>
    </row>
    <row r="49" spans="2:13" ht="14" customHeight="1" x14ac:dyDescent="0.25">
      <c r="B49" s="109">
        <v>45597</v>
      </c>
      <c r="C49" s="110">
        <v>1235.2</v>
      </c>
      <c r="D49" s="111">
        <v>346</v>
      </c>
      <c r="E49" s="111">
        <v>889.2</v>
      </c>
      <c r="F49" s="113">
        <f t="shared" si="6"/>
        <v>36.800000000000068</v>
      </c>
      <c r="G49" s="121">
        <f t="shared" ref="G49:G51" si="14">F49/F37-1</f>
        <v>0.18709677419355142</v>
      </c>
      <c r="H49" s="121">
        <f t="shared" ref="H49:H51" si="15">F49/F48-1</f>
        <v>-0.33212341197822048</v>
      </c>
      <c r="I49" s="111">
        <f t="shared" si="11"/>
        <v>6.8999999999999773</v>
      </c>
      <c r="J49" s="111">
        <f t="shared" si="4"/>
        <v>29.900000000000091</v>
      </c>
      <c r="K49" s="111">
        <v>151.19999999999999</v>
      </c>
      <c r="L49" s="111">
        <f t="shared" si="7"/>
        <v>4.1086956521739051</v>
      </c>
      <c r="M49" s="114">
        <f t="shared" si="8"/>
        <v>0.28011658031088082</v>
      </c>
    </row>
    <row r="50" spans="2:13" ht="14" customHeight="1" x14ac:dyDescent="0.25">
      <c r="B50" s="115">
        <v>45627</v>
      </c>
      <c r="C50" s="116">
        <v>1281.8</v>
      </c>
      <c r="D50" s="117">
        <v>357.9</v>
      </c>
      <c r="E50" s="117">
        <f>E38+336.8</f>
        <v>923.8</v>
      </c>
      <c r="F50" s="119">
        <f t="shared" si="6"/>
        <v>46.499999999999886</v>
      </c>
      <c r="G50" s="122">
        <f t="shared" si="14"/>
        <v>0.40060240963854898</v>
      </c>
      <c r="H50" s="122">
        <f t="shared" si="15"/>
        <v>0.2635869565217337</v>
      </c>
      <c r="I50" s="117">
        <f t="shared" si="11"/>
        <v>11.899999999999977</v>
      </c>
      <c r="J50" s="117">
        <f t="shared" si="4"/>
        <v>34.599999999999909</v>
      </c>
      <c r="K50" s="117">
        <v>151.19999999999999</v>
      </c>
      <c r="L50" s="117">
        <f t="shared" si="7"/>
        <v>3.2516129032258143</v>
      </c>
      <c r="M50" s="120">
        <f t="shared" si="8"/>
        <v>0.27921672647838974</v>
      </c>
    </row>
    <row r="51" spans="2:13" ht="14" customHeight="1" x14ac:dyDescent="0.25">
      <c r="B51" s="109">
        <v>45658</v>
      </c>
      <c r="C51" s="110">
        <f>C50+39.5</f>
        <v>1321.3</v>
      </c>
      <c r="D51" s="111">
        <v>376</v>
      </c>
      <c r="E51" s="111">
        <f>E50+21.4</f>
        <v>945.19999999999993</v>
      </c>
      <c r="F51" s="113">
        <f t="shared" si="6"/>
        <v>39.5</v>
      </c>
      <c r="G51" s="121">
        <f t="shared" si="14"/>
        <v>0.49000377216144342</v>
      </c>
      <c r="H51" s="121">
        <f t="shared" si="15"/>
        <v>-0.15053763440860002</v>
      </c>
      <c r="I51" s="111">
        <f t="shared" si="11"/>
        <v>18.100000000000023</v>
      </c>
      <c r="J51" s="111">
        <f t="shared" si="4"/>
        <v>21.399999999999977</v>
      </c>
      <c r="K51" s="111">
        <v>79.3</v>
      </c>
      <c r="L51" s="111">
        <f t="shared" si="7"/>
        <v>2.0075949367088608</v>
      </c>
      <c r="M51" s="114">
        <f t="shared" si="8"/>
        <v>0.28456822826004691</v>
      </c>
    </row>
    <row r="52" spans="2:13" ht="14" customHeight="1" x14ac:dyDescent="0.25">
      <c r="B52" s="109">
        <v>45689</v>
      </c>
      <c r="C52" s="110">
        <v>1345.1</v>
      </c>
      <c r="D52" s="111">
        <f>D51+7.2</f>
        <v>383.2</v>
      </c>
      <c r="E52" s="111">
        <v>961.9</v>
      </c>
      <c r="F52" s="113">
        <f t="shared" si="6"/>
        <v>23.900000000000034</v>
      </c>
      <c r="G52" s="121">
        <f t="shared" ref="G52:G57" si="16">F52/F40-1</f>
        <v>0.47530864197532541</v>
      </c>
      <c r="H52" s="121">
        <f t="shared" ref="H52:H57" si="17">F52/F51-1</f>
        <v>-0.3949367088607586</v>
      </c>
      <c r="I52" s="111">
        <f t="shared" si="11"/>
        <v>7.1999999999999886</v>
      </c>
      <c r="J52" s="111">
        <f t="shared" si="4"/>
        <v>16.700000000000045</v>
      </c>
      <c r="K52" s="111">
        <f>155.4-K51</f>
        <v>76.100000000000009</v>
      </c>
      <c r="L52" s="111">
        <f t="shared" si="7"/>
        <v>3.1841004184100377</v>
      </c>
      <c r="M52" s="114">
        <f t="shared" si="8"/>
        <v>0.28488588209055088</v>
      </c>
    </row>
    <row r="53" spans="2:13" ht="14" customHeight="1" x14ac:dyDescent="0.25">
      <c r="B53" s="109">
        <v>45717</v>
      </c>
      <c r="C53" s="110">
        <v>1374.9</v>
      </c>
      <c r="D53" s="111">
        <v>390</v>
      </c>
      <c r="E53" s="111">
        <v>984.9</v>
      </c>
      <c r="F53" s="113">
        <f t="shared" si="6"/>
        <v>29.800000000000011</v>
      </c>
      <c r="G53" s="121">
        <f t="shared" si="16"/>
        <v>3.1141868512106319E-2</v>
      </c>
      <c r="H53" s="121">
        <f t="shared" si="17"/>
        <v>0.24686192468619117</v>
      </c>
      <c r="I53" s="111">
        <f t="shared" si="11"/>
        <v>6.8000000000000114</v>
      </c>
      <c r="J53" s="111">
        <f t="shared" si="4"/>
        <v>23</v>
      </c>
      <c r="K53" s="111">
        <f>263.3-K52-K51</f>
        <v>107.89999999999999</v>
      </c>
      <c r="L53" s="111">
        <f t="shared" si="7"/>
        <v>3.620805369127515</v>
      </c>
      <c r="M53" s="123">
        <f t="shared" si="8"/>
        <v>0.28365699323587168</v>
      </c>
    </row>
    <row r="54" spans="2:13" ht="14" customHeight="1" x14ac:dyDescent="0.25">
      <c r="B54" s="109">
        <v>45748</v>
      </c>
      <c r="C54" s="110">
        <v>1375.9</v>
      </c>
      <c r="D54" s="111">
        <v>399.2</v>
      </c>
      <c r="E54" s="111">
        <v>1007.3</v>
      </c>
      <c r="F54" s="113">
        <f t="shared" si="6"/>
        <v>31.599999999999966</v>
      </c>
      <c r="G54" s="121">
        <f t="shared" si="16"/>
        <v>4.6357615894039084E-2</v>
      </c>
      <c r="H54" s="121">
        <f t="shared" si="17"/>
        <v>6.0402684563756859E-2</v>
      </c>
      <c r="I54" s="111">
        <f t="shared" si="11"/>
        <v>9.1999999999999886</v>
      </c>
      <c r="J54" s="111">
        <f t="shared" si="4"/>
        <v>22.399999999999977</v>
      </c>
      <c r="K54" s="111">
        <f>365.8-K53-K52-K51</f>
        <v>102.50000000000001</v>
      </c>
      <c r="L54" s="111">
        <f t="shared" si="7"/>
        <v>3.2436708860759533</v>
      </c>
      <c r="M54" s="114">
        <f t="shared" si="8"/>
        <v>0.2901373646340577</v>
      </c>
    </row>
    <row r="55" spans="2:13" ht="14" customHeight="1" x14ac:dyDescent="0.25">
      <c r="B55" s="109">
        <v>45778</v>
      </c>
      <c r="C55" s="110">
        <v>1440</v>
      </c>
      <c r="D55" s="111">
        <v>408.3</v>
      </c>
      <c r="E55" s="111">
        <v>1031.8</v>
      </c>
      <c r="F55" s="113">
        <f t="shared" si="6"/>
        <v>33.600000000000023</v>
      </c>
      <c r="G55" s="121">
        <f>F55/F43-1</f>
        <v>8.7378640776702543E-2</v>
      </c>
      <c r="H55" s="121">
        <f t="shared" si="17"/>
        <v>6.3291139240508221E-2</v>
      </c>
      <c r="I55" s="111">
        <f t="shared" si="11"/>
        <v>9.1000000000000227</v>
      </c>
      <c r="J55" s="111">
        <f t="shared" si="4"/>
        <v>24.5</v>
      </c>
      <c r="K55" s="111">
        <f>475.3-K54-K53-K52-K51</f>
        <v>109.50000000000001</v>
      </c>
      <c r="L55" s="111">
        <f t="shared" si="7"/>
        <v>3.2589285714285698</v>
      </c>
      <c r="M55" s="114">
        <f t="shared" si="8"/>
        <v>0.28354166666666669</v>
      </c>
    </row>
    <row r="56" spans="2:13" ht="14" customHeight="1" x14ac:dyDescent="0.25">
      <c r="B56" s="109">
        <v>45809</v>
      </c>
      <c r="C56" s="110">
        <v>1610</v>
      </c>
      <c r="D56" s="111">
        <v>409.6</v>
      </c>
      <c r="E56" s="111">
        <v>1200.4000000000001</v>
      </c>
      <c r="F56" s="113">
        <f t="shared" si="6"/>
        <v>169.90000000000015</v>
      </c>
      <c r="G56" s="121">
        <f>F56/F44-1</f>
        <v>4.2928348909657235</v>
      </c>
      <c r="H56" s="121">
        <f t="shared" si="17"/>
        <v>4.0565476190476204</v>
      </c>
      <c r="I56" s="111">
        <f t="shared" si="11"/>
        <v>1.3000000000000114</v>
      </c>
      <c r="J56" s="111">
        <f t="shared" si="4"/>
        <v>168.60000000000014</v>
      </c>
      <c r="K56" s="111">
        <f>587.8-K55-K54-K53-K52-K51</f>
        <v>112.49999999999996</v>
      </c>
      <c r="L56" s="111">
        <f t="shared" si="7"/>
        <v>0.66215420835785677</v>
      </c>
      <c r="M56" s="114">
        <f t="shared" si="8"/>
        <v>0.25440993788819877</v>
      </c>
    </row>
    <row r="57" spans="2:13" ht="14" customHeight="1" x14ac:dyDescent="0.25">
      <c r="B57" s="109">
        <v>45839</v>
      </c>
      <c r="C57" s="110">
        <v>1669.6</v>
      </c>
      <c r="D57" s="111">
        <v>420.2</v>
      </c>
      <c r="E57" s="111">
        <v>1249.4000000000001</v>
      </c>
      <c r="F57" s="113">
        <f t="shared" si="6"/>
        <v>59.599999999999966</v>
      </c>
      <c r="G57" s="121">
        <f t="shared" si="16"/>
        <v>0.66016713091922274</v>
      </c>
      <c r="H57" s="121">
        <f t="shared" si="17"/>
        <v>-0.64920541494997108</v>
      </c>
      <c r="I57" s="111">
        <f t="shared" si="11"/>
        <v>10.599999999999966</v>
      </c>
      <c r="J57" s="111">
        <f t="shared" si="4"/>
        <v>49</v>
      </c>
      <c r="K57" s="111">
        <f>691.3-SUM(K51:K56)</f>
        <v>103.5</v>
      </c>
      <c r="L57" s="111">
        <f t="shared" si="7"/>
        <v>1.7365771812080546</v>
      </c>
      <c r="M57" s="114">
        <f t="shared" si="8"/>
        <v>0.25167704839482513</v>
      </c>
    </row>
    <row r="58" spans="2:13" ht="14" customHeight="1" x14ac:dyDescent="0.25">
      <c r="B58" s="109">
        <v>45870</v>
      </c>
      <c r="C58" s="110">
        <v>1734.8</v>
      </c>
      <c r="D58" s="111">
        <v>431.6</v>
      </c>
      <c r="E58" s="111">
        <v>1303.2</v>
      </c>
      <c r="F58" s="113">
        <f t="shared" si="6"/>
        <v>65.199999999999989</v>
      </c>
      <c r="G58" s="121">
        <f t="shared" ref="G58" si="18">F58/F46-1</f>
        <v>0.64646464646464286</v>
      </c>
      <c r="H58" s="121">
        <f t="shared" ref="H58" si="19">F58/F57-1</f>
        <v>9.3959731543624692E-2</v>
      </c>
      <c r="I58" s="111">
        <f t="shared" si="11"/>
        <v>11.400000000000034</v>
      </c>
      <c r="J58" s="111">
        <f t="shared" si="4"/>
        <v>53.799999999999955</v>
      </c>
      <c r="K58" s="111">
        <f>808.8-SUM(K51:K57)</f>
        <v>117.5</v>
      </c>
      <c r="L58" s="111">
        <f t="shared" si="7"/>
        <v>1.802147239263804</v>
      </c>
      <c r="M58" s="114">
        <f t="shared" si="8"/>
        <v>0.24878948581969104</v>
      </c>
    </row>
    <row r="59" spans="2:13" ht="14" customHeight="1" x14ac:dyDescent="0.25">
      <c r="B59" s="109">
        <v>45901</v>
      </c>
      <c r="C59" s="110">
        <v>1806.3</v>
      </c>
      <c r="D59" s="111">
        <v>447.6</v>
      </c>
      <c r="E59" s="111">
        <v>1358.7</v>
      </c>
      <c r="F59" s="113">
        <f t="shared" si="6"/>
        <v>71.5</v>
      </c>
      <c r="G59" s="121">
        <f t="shared" ref="G59" si="20">F59/F47-1</f>
        <v>0.64746543778802135</v>
      </c>
      <c r="H59" s="121">
        <f t="shared" ref="H59" si="21">F59/F58-1</f>
        <v>9.6625766871165863E-2</v>
      </c>
      <c r="I59" s="111">
        <f t="shared" si="11"/>
        <v>16</v>
      </c>
      <c r="J59" s="111">
        <f t="shared" si="4"/>
        <v>55.5</v>
      </c>
      <c r="K59" s="111">
        <f>947-SUM(K51:K58)</f>
        <v>138.20000000000005</v>
      </c>
      <c r="L59" s="111">
        <f t="shared" si="7"/>
        <v>1.9328671328671334</v>
      </c>
      <c r="M59" s="114">
        <f t="shared" si="8"/>
        <v>0.24779936887560208</v>
      </c>
    </row>
    <row r="60" spans="2:13" ht="14" customHeight="1" x14ac:dyDescent="0.25">
      <c r="B60" s="109">
        <v>45931</v>
      </c>
      <c r="C60" s="110">
        <v>1864.5</v>
      </c>
      <c r="D60" s="111">
        <v>453.3</v>
      </c>
      <c r="E60" s="111">
        <v>1411.2</v>
      </c>
      <c r="F60" s="113">
        <f t="shared" si="6"/>
        <v>58.199999999999989</v>
      </c>
      <c r="G60" s="121">
        <f t="shared" ref="G60" si="22">F60/F48-1</f>
        <v>5.6261343012703469E-2</v>
      </c>
      <c r="H60" s="121">
        <f t="shared" ref="H60" si="23">F60/F59-1</f>
        <v>-0.18601398601398622</v>
      </c>
      <c r="I60" s="111">
        <f t="shared" si="11"/>
        <v>5.6999999999999886</v>
      </c>
      <c r="J60" s="111">
        <f t="shared" si="4"/>
        <v>52.5</v>
      </c>
      <c r="K60" s="111">
        <f>1092.9-SUM(K51:K59)</f>
        <v>145.90000000000009</v>
      </c>
      <c r="L60" s="111">
        <f t="shared" si="7"/>
        <v>2.5068728522336792</v>
      </c>
      <c r="M60" s="114">
        <f t="shared" si="8"/>
        <v>0.24312148028962188</v>
      </c>
    </row>
    <row r="61" spans="2:13" ht="14" customHeight="1" x14ac:dyDescent="0.25">
      <c r="B61" s="109">
        <v>45962</v>
      </c>
      <c r="C61" s="110">
        <v>1932.2</v>
      </c>
      <c r="D61" s="111">
        <v>462.5</v>
      </c>
      <c r="E61" s="111">
        <v>1469.7</v>
      </c>
      <c r="F61" s="113">
        <f t="shared" si="6"/>
        <v>67.699999999999989</v>
      </c>
      <c r="G61" s="121">
        <f t="shared" ref="G61" si="24">F61/F49-1</f>
        <v>0.8396739130434745</v>
      </c>
      <c r="H61" s="121">
        <f t="shared" ref="H61" si="25">F61/F60-1</f>
        <v>0.16323024054982826</v>
      </c>
      <c r="I61" s="111">
        <f t="shared" si="11"/>
        <v>9.1999999999999886</v>
      </c>
      <c r="J61" s="111">
        <f t="shared" si="4"/>
        <v>58.5</v>
      </c>
      <c r="K61" s="111">
        <f>1246.6-SUM(K51:K60)</f>
        <v>153.69999999999982</v>
      </c>
      <c r="L61" s="111">
        <f t="shared" si="7"/>
        <v>2.2703101920236315</v>
      </c>
      <c r="M61" s="114">
        <f t="shared" si="8"/>
        <v>0.23936445502535969</v>
      </c>
    </row>
    <row r="62" spans="2:13" ht="14" customHeight="1" x14ac:dyDescent="0.25">
      <c r="B62" s="115">
        <v>45992</v>
      </c>
      <c r="C62" s="116">
        <v>2009.2</v>
      </c>
      <c r="D62" s="117">
        <v>471.7</v>
      </c>
      <c r="E62" s="117">
        <v>1537</v>
      </c>
      <c r="F62" s="119">
        <f t="shared" si="6"/>
        <v>76.499999999999943</v>
      </c>
      <c r="G62" s="122">
        <f t="shared" ref="G62:G63" si="26">F62/F50-1</f>
        <v>0.6451612903225834</v>
      </c>
      <c r="H62" s="122">
        <f t="shared" ref="H62:H63" si="27">F62/F61-1</f>
        <v>0.12998522895125486</v>
      </c>
      <c r="I62" s="117">
        <f t="shared" si="11"/>
        <v>9.1999999999999886</v>
      </c>
      <c r="J62" s="117">
        <f t="shared" si="4"/>
        <v>67.299999999999955</v>
      </c>
      <c r="K62" s="117">
        <f>1387.5-SUM(K51:K61)</f>
        <v>140.90000000000009</v>
      </c>
      <c r="L62" s="117">
        <f t="shared" si="7"/>
        <v>1.8418300653594797</v>
      </c>
      <c r="M62" s="120">
        <f t="shared" si="8"/>
        <v>0.23477005773442164</v>
      </c>
    </row>
    <row r="63" spans="2:13" ht="14" customHeight="1" x14ac:dyDescent="0.25">
      <c r="B63" s="109">
        <v>46023</v>
      </c>
      <c r="C63" s="47">
        <v>2069.8000000000002</v>
      </c>
      <c r="D63" s="47">
        <v>480.1</v>
      </c>
      <c r="E63" s="47">
        <v>1589.7</v>
      </c>
      <c r="F63" s="113">
        <f t="shared" ref="F63" si="28">I63+J63</f>
        <v>61.10000000000008</v>
      </c>
      <c r="G63" s="121">
        <f t="shared" si="26"/>
        <v>0.54683544303797671</v>
      </c>
      <c r="H63" s="121">
        <f t="shared" si="27"/>
        <v>-0.20130718954248206</v>
      </c>
      <c r="I63" s="111">
        <f t="shared" ref="I63" si="29">D63-D62</f>
        <v>8.4000000000000341</v>
      </c>
      <c r="J63" s="111">
        <f t="shared" ref="J63" si="30">E63-E62</f>
        <v>52.700000000000045</v>
      </c>
      <c r="K63" s="47">
        <v>64.3</v>
      </c>
      <c r="L63" s="111">
        <f t="shared" ref="L63" si="31">K63/F63</f>
        <v>1.052373158756136</v>
      </c>
      <c r="M63" s="114">
        <f t="shared" ref="M63" si="32">D63/C63</f>
        <v>0.23195477823944341</v>
      </c>
    </row>
    <row r="64" spans="2:13" ht="14" customHeight="1" x14ac:dyDescent="0.25">
      <c r="B64" s="109">
        <v>46054</v>
      </c>
      <c r="C64" s="47">
        <v>2101</v>
      </c>
      <c r="D64" s="47">
        <v>483.4</v>
      </c>
      <c r="E64" s="47">
        <v>1617.6</v>
      </c>
      <c r="F64" s="113">
        <f t="shared" ref="F64" si="33">I64+J64</f>
        <v>31.199999999999818</v>
      </c>
      <c r="G64" s="121">
        <f t="shared" ref="G64" si="34">F64/F52-1</f>
        <v>0.30543933054392358</v>
      </c>
      <c r="H64" s="121">
        <f t="shared" ref="H64" si="35">F64/F63-1</f>
        <v>-0.48936170212766317</v>
      </c>
      <c r="I64" s="111">
        <f t="shared" ref="I64" si="36">D64-D63</f>
        <v>3.2999999999999545</v>
      </c>
      <c r="J64" s="111">
        <f t="shared" ref="J64" si="37">E64-E63</f>
        <v>27.899999999999864</v>
      </c>
      <c r="K64" s="47">
        <f>112.6-K63</f>
        <v>48.3</v>
      </c>
      <c r="L64" s="111">
        <f>K64/F64</f>
        <v>1.548076923076932</v>
      </c>
      <c r="M64" s="114">
        <f t="shared" ref="M64" si="38">D64/C64</f>
        <v>0.23008091385054735</v>
      </c>
    </row>
    <row r="65" spans="2:13" ht="14" customHeight="1" x14ac:dyDescent="0.25">
      <c r="B65" s="109">
        <v>46082</v>
      </c>
      <c r="C65" s="47">
        <v>2148.1</v>
      </c>
      <c r="D65" s="47">
        <v>486.3</v>
      </c>
      <c r="E65" s="47">
        <v>1661.8</v>
      </c>
      <c r="F65" s="113">
        <f t="shared" ref="F65:F66" si="39">I65+J65</f>
        <v>47.10000000000008</v>
      </c>
      <c r="G65" s="121">
        <f t="shared" ref="G65:G66" si="40">F65/F53-1</f>
        <v>0.58053691275167996</v>
      </c>
      <c r="H65" s="121">
        <f t="shared" ref="H65" si="41">F65/F64-1</f>
        <v>0.50961538461539591</v>
      </c>
      <c r="I65" s="111">
        <f t="shared" ref="I65" si="42">D65-D64</f>
        <v>2.9000000000000341</v>
      </c>
      <c r="J65" s="111">
        <f t="shared" ref="J65" si="43">E65-E64</f>
        <v>44.200000000000045</v>
      </c>
      <c r="K65" s="47">
        <f>200.6-K63-K64</f>
        <v>88.000000000000014</v>
      </c>
      <c r="L65" s="111">
        <f>K65/F65</f>
        <v>1.8683651804670884</v>
      </c>
      <c r="M65" s="114">
        <f t="shared" ref="M65" si="44">D65/C65</f>
        <v>0.22638610865415951</v>
      </c>
    </row>
    <row r="66" spans="2:13" ht="14" customHeight="1" x14ac:dyDescent="0.25">
      <c r="B66" s="109">
        <v>46113</v>
      </c>
      <c r="C66" s="47">
        <v>2195.5</v>
      </c>
      <c r="D66" s="47">
        <v>490.7</v>
      </c>
      <c r="E66" s="47">
        <v>1704.8</v>
      </c>
      <c r="F66" s="113">
        <f t="shared" si="39"/>
        <v>47.399999999999977</v>
      </c>
      <c r="G66" s="121">
        <f t="shared" si="40"/>
        <v>0.50000000000000089</v>
      </c>
      <c r="H66" s="121">
        <f t="shared" ref="H66" si="45">F66/F65-1</f>
        <v>6.3694267515901348E-3</v>
      </c>
      <c r="I66" s="111">
        <f t="shared" ref="I66" si="46">D66-D65</f>
        <v>4.3999999999999773</v>
      </c>
      <c r="J66" s="111">
        <f t="shared" ref="J66" si="47">E66-E65</f>
        <v>43</v>
      </c>
      <c r="K66" s="47">
        <f>292-SUM(K63:K65)</f>
        <v>91.399999999999977</v>
      </c>
      <c r="L66" s="111">
        <f>K66/F66</f>
        <v>1.9282700421940933</v>
      </c>
      <c r="M66" s="114">
        <f t="shared" ref="M66" si="48">D66/C66</f>
        <v>0.22350261899339557</v>
      </c>
    </row>
    <row r="67" spans="2:13" ht="14" customHeight="1" x14ac:dyDescent="0.25"/>
    <row r="68" spans="2:13" ht="14" customHeight="1" x14ac:dyDescent="0.25"/>
    <row r="69" spans="2:13" ht="14" customHeight="1" x14ac:dyDescent="0.25"/>
    <row r="70" spans="2:13" ht="14" customHeight="1" x14ac:dyDescent="0.25"/>
    <row r="71" spans="2:13" ht="14" customHeight="1" x14ac:dyDescent="0.25"/>
    <row r="72" spans="2:13" ht="14" customHeight="1" x14ac:dyDescent="0.25"/>
    <row r="73" spans="2:13" ht="14" customHeight="1" x14ac:dyDescent="0.25"/>
    <row r="74" spans="2:13" ht="14" customHeight="1" x14ac:dyDescent="0.25"/>
    <row r="75" spans="2:13" ht="14" customHeight="1" x14ac:dyDescent="0.25"/>
    <row r="76" spans="2:13" ht="14" customHeight="1" x14ac:dyDescent="0.25"/>
    <row r="77" spans="2:13" ht="14" customHeight="1" x14ac:dyDescent="0.25"/>
    <row r="78" spans="2:13" ht="14" customHeight="1" x14ac:dyDescent="0.25"/>
    <row r="79" spans="2:13" ht="14" customHeight="1" x14ac:dyDescent="0.25"/>
    <row r="80" spans="2:13" ht="14" customHeight="1" x14ac:dyDescent="0.25"/>
    <row r="81" spans="6:6" ht="14" customHeight="1" x14ac:dyDescent="0.25"/>
    <row r="82" spans="6:6" ht="14" customHeight="1" x14ac:dyDescent="0.25"/>
    <row r="83" spans="6:6" ht="14" customHeight="1" x14ac:dyDescent="0.25">
      <c r="F83" s="124"/>
    </row>
    <row r="84" spans="6:6" ht="14" customHeight="1" x14ac:dyDescent="0.25"/>
    <row r="85" spans="6:6" ht="14" customHeight="1" x14ac:dyDescent="0.25"/>
    <row r="86" spans="6:6" ht="14" customHeight="1" x14ac:dyDescent="0.25"/>
    <row r="87" spans="6:6" ht="14" customHeight="1" x14ac:dyDescent="0.25"/>
    <row r="88" spans="6:6" ht="14" customHeight="1" x14ac:dyDescent="0.25"/>
    <row r="89" spans="6:6" ht="14" customHeight="1" x14ac:dyDescent="0.25"/>
    <row r="90" spans="6:6" ht="14" customHeight="1" x14ac:dyDescent="0.25"/>
    <row r="91" spans="6:6" ht="14" customHeight="1" x14ac:dyDescent="0.25"/>
    <row r="92" spans="6:6" ht="14" customHeight="1" x14ac:dyDescent="0.25"/>
    <row r="93" spans="6:6" ht="14" customHeight="1" x14ac:dyDescent="0.25"/>
    <row r="94" spans="6:6" ht="14" customHeight="1" x14ac:dyDescent="0.25"/>
    <row r="95" spans="6:6" ht="14" customHeight="1" x14ac:dyDescent="0.25"/>
    <row r="96" spans="6:6" ht="14" customHeight="1" x14ac:dyDescent="0.25"/>
    <row r="97" ht="14" customHeight="1" x14ac:dyDescent="0.25"/>
    <row r="98" ht="14" customHeight="1" x14ac:dyDescent="0.25"/>
    <row r="99" ht="14" customHeight="1" x14ac:dyDescent="0.25"/>
    <row r="100" ht="14" customHeight="1" x14ac:dyDescent="0.25"/>
    <row r="101" ht="14" customHeight="1" x14ac:dyDescent="0.25"/>
    <row r="102" ht="14" customHeight="1" x14ac:dyDescent="0.25"/>
    <row r="103" ht="14" customHeight="1" x14ac:dyDescent="0.25"/>
    <row r="104" ht="14" customHeight="1" x14ac:dyDescent="0.25"/>
    <row r="105" ht="14" customHeight="1" x14ac:dyDescent="0.25"/>
    <row r="106" ht="14" customHeight="1" x14ac:dyDescent="0.25"/>
    <row r="107" ht="14" customHeight="1" x14ac:dyDescent="0.25"/>
    <row r="108" ht="14" customHeight="1" x14ac:dyDescent="0.25"/>
    <row r="109" ht="14" customHeight="1" x14ac:dyDescent="0.25"/>
    <row r="110" ht="14" customHeight="1" x14ac:dyDescent="0.25"/>
    <row r="111" ht="14" customHeight="1" x14ac:dyDescent="0.25"/>
    <row r="112" ht="14" customHeight="1" x14ac:dyDescent="0.25"/>
    <row r="113" ht="14" customHeight="1" x14ac:dyDescent="0.25"/>
    <row r="114" ht="14" customHeight="1" x14ac:dyDescent="0.25"/>
    <row r="115" ht="14" customHeight="1" x14ac:dyDescent="0.25"/>
    <row r="116" ht="14" customHeight="1" x14ac:dyDescent="0.25"/>
    <row r="117" ht="14" customHeight="1" x14ac:dyDescent="0.25"/>
    <row r="118" ht="14" customHeight="1" x14ac:dyDescent="0.25"/>
    <row r="119" ht="14" customHeight="1" x14ac:dyDescent="0.25"/>
    <row r="120" ht="14" customHeight="1" x14ac:dyDescent="0.25"/>
    <row r="121" ht="14" customHeight="1" x14ac:dyDescent="0.25"/>
    <row r="122" ht="14" customHeight="1" x14ac:dyDescent="0.25"/>
    <row r="123" ht="14" customHeight="1" x14ac:dyDescent="0.25"/>
    <row r="124" ht="14" customHeight="1" x14ac:dyDescent="0.25"/>
    <row r="125" ht="14" customHeight="1" x14ac:dyDescent="0.25"/>
    <row r="126" ht="14" customHeight="1" x14ac:dyDescent="0.25"/>
    <row r="127" ht="14" customHeight="1" x14ac:dyDescent="0.25"/>
    <row r="128" ht="14" customHeight="1" x14ac:dyDescent="0.25"/>
    <row r="129" ht="14" customHeight="1" x14ac:dyDescent="0.25"/>
    <row r="130" ht="14" customHeight="1" x14ac:dyDescent="0.25"/>
    <row r="131" ht="14" customHeight="1" x14ac:dyDescent="0.25"/>
    <row r="132" ht="14" customHeight="1" x14ac:dyDescent="0.25"/>
    <row r="133" ht="14" customHeight="1" x14ac:dyDescent="0.25"/>
    <row r="134" ht="14" customHeight="1" x14ac:dyDescent="0.25"/>
    <row r="135" ht="14" customHeight="1" x14ac:dyDescent="0.25"/>
    <row r="136" ht="14" customHeight="1" x14ac:dyDescent="0.25"/>
    <row r="137" ht="14" customHeight="1" x14ac:dyDescent="0.25"/>
    <row r="138" ht="14" customHeight="1" x14ac:dyDescent="0.25"/>
    <row r="139" ht="14" customHeight="1" x14ac:dyDescent="0.25"/>
    <row r="140" ht="14" customHeight="1" x14ac:dyDescent="0.25"/>
    <row r="141" ht="14" customHeight="1" x14ac:dyDescent="0.25"/>
    <row r="142" ht="14" customHeight="1" x14ac:dyDescent="0.25"/>
    <row r="143" ht="14" customHeight="1" x14ac:dyDescent="0.25"/>
    <row r="144" ht="14" customHeight="1" x14ac:dyDescent="0.25"/>
    <row r="145" spans="2:4" ht="14" customHeight="1" x14ac:dyDescent="0.25">
      <c r="C145" s="125"/>
      <c r="D145" s="125"/>
    </row>
    <row r="146" spans="2:4" ht="14" customHeight="1" x14ac:dyDescent="0.25">
      <c r="C146" s="125"/>
      <c r="D146" s="125"/>
    </row>
    <row r="147" spans="2:4" ht="14" customHeight="1" x14ac:dyDescent="0.25">
      <c r="C147" s="125"/>
      <c r="D147" s="125"/>
    </row>
    <row r="148" spans="2:4" ht="14" customHeight="1" x14ac:dyDescent="0.25">
      <c r="C148" s="125"/>
      <c r="D148" s="125"/>
    </row>
    <row r="149" spans="2:4" ht="14" customHeight="1" x14ac:dyDescent="0.25">
      <c r="C149" s="125"/>
      <c r="D149" s="125"/>
    </row>
    <row r="150" spans="2:4" ht="14" customHeight="1" x14ac:dyDescent="0.25">
      <c r="B150" s="126"/>
      <c r="C150" s="125"/>
      <c r="D150" s="125"/>
    </row>
    <row r="151" spans="2:4" ht="14" customHeight="1" x14ac:dyDescent="0.25">
      <c r="B151" s="126"/>
      <c r="C151" s="125"/>
      <c r="D151" s="125"/>
    </row>
    <row r="152" spans="2:4" ht="14" customHeight="1" x14ac:dyDescent="0.25"/>
    <row r="153" spans="2:4" ht="14" customHeight="1" x14ac:dyDescent="0.25"/>
    <row r="154" spans="2:4" ht="14" customHeight="1" x14ac:dyDescent="0.25"/>
    <row r="155" spans="2:4" ht="14" customHeight="1" x14ac:dyDescent="0.25"/>
  </sheetData>
  <phoneticPr fontId="17" type="noConversion"/>
  <pageMargins left="0.7" right="0.7" top="0.75" bottom="0.75" header="0.3" footer="0.3"/>
  <pageSetup paperSize="9"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election activeCell="G25" sqref="G25"/>
    </sheetView>
  </sheetViews>
  <sheetFormatPr defaultColWidth="9" defaultRowHeight="14.4" x14ac:dyDescent="0.25"/>
  <sheetData>
    <row r="1" spans="1:1" x14ac:dyDescent="0.25">
      <c r="A1" t="s">
        <v>17</v>
      </c>
    </row>
  </sheetData>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首页</vt:lpstr>
      <vt:lpstr>全球新能源车销量</vt:lpstr>
      <vt:lpstr>欧洲新能源乘用车销量</vt:lpstr>
      <vt:lpstr>中国新能源汽车销量-中汽协</vt:lpstr>
      <vt:lpstr>中国新能源汽车销量-乘联会</vt:lpstr>
      <vt:lpstr>中国新能源车企批发销量-月度</vt:lpstr>
      <vt:lpstr>特斯拉中国</vt:lpstr>
      <vt:lpstr>充电桩-充电联盟</vt:lpstr>
      <vt:lpstr>风险提示</vt:lpstr>
      <vt:lpstr>重要声明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Vicky Lee</cp:lastModifiedBy>
  <dcterms:created xsi:type="dcterms:W3CDTF">2015-06-16T06:20:00Z</dcterms:created>
  <dcterms:modified xsi:type="dcterms:W3CDTF">2026-06-21T09:40:56Z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c38ea021</vt:lpwstr>
  </property>
  <property fmtid="{D5CDD505-2E9C-101B-9397-08002B2CF9AE}" pid="3" name="ICV">
    <vt:lpwstr>6BCDED185185406CA43E21B5C202C51C_13</vt:lpwstr>
  </property>
  <property fmtid="{D5CDD505-2E9C-101B-9397-08002B2CF9AE}" pid="4" name="KSOProductBuildVer">
    <vt:lpwstr>2052-12.1.0.23542</vt:lpwstr>
  </property>
</Properties>
</file>