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lenovo\Desktop\周报&amp;数据库\动力电池数据库\260618\"/>
    </mc:Choice>
  </mc:AlternateContent>
  <xr:revisionPtr revIDLastSave="0" documentId="13_ncr:1_{7E56353E-B44C-43D9-BF4A-F8B8C13614B6}" xr6:coauthVersionLast="47" xr6:coauthVersionMax="47" xr10:uidLastSave="{00000000-0000-0000-0000-000000000000}"/>
  <bookViews>
    <workbookView xWindow="10932" yWindow="772" windowWidth="10749" windowHeight="8490" firstSheet="7" activeTab="7" xr2:uid="{8C2D8925-8167-425B-8C45-836D21E22399}"/>
  </bookViews>
  <sheets>
    <sheet name="首页" sheetId="1" r:id="rId1"/>
    <sheet name="全球&amp;中国动力电池装机规模-年度" sheetId="17" r:id="rId2"/>
    <sheet name="全球&amp;中国动力电池企业装机量排名-年度" sheetId="25" r:id="rId3"/>
    <sheet name="全球&amp;中国动力电池行业装机规模-月度" sheetId="4" r:id="rId4"/>
    <sheet name="全球动力电池企业装机量排名-月度" sheetId="14" r:id="rId5"/>
    <sheet name="海外动力电池企业装机量排名-月度" sheetId="15" r:id="rId6"/>
    <sheet name="中国动力电池企业装机量排名-月度" sheetId="16" r:id="rId7"/>
    <sheet name="中国锂电池产量规模" sheetId="12" r:id="rId8"/>
    <sheet name="中国新能源单车平均带电量" sheetId="26" r:id="rId9"/>
    <sheet name="风险提示" sheetId="22" r:id="rId10"/>
    <sheet name="重要声明" sheetId="27" r:id="rId11"/>
  </sheets>
  <definedNames>
    <definedName name="_xlnm._FilterDatabase" localSheetId="5" hidden="1">'海外动力电池企业装机量排名-月度'!$C$567:$H$575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2" l="1"/>
  <c r="G52" i="12"/>
  <c r="G37" i="12"/>
  <c r="G38" i="12"/>
  <c r="G23" i="12"/>
  <c r="G24" i="12"/>
  <c r="D43" i="15"/>
  <c r="E43" i="15"/>
  <c r="D44" i="15"/>
  <c r="E44" i="15"/>
  <c r="F44" i="15" s="1"/>
  <c r="D45" i="15"/>
  <c r="G45" i="15" s="1"/>
  <c r="E45" i="15"/>
  <c r="H45" i="15" s="1"/>
  <c r="D46" i="15"/>
  <c r="E46" i="15"/>
  <c r="D47" i="15"/>
  <c r="G47" i="15" s="1"/>
  <c r="E47" i="15"/>
  <c r="D48" i="15"/>
  <c r="E48" i="15"/>
  <c r="F48" i="15" s="1"/>
  <c r="D49" i="15"/>
  <c r="G49" i="15" s="1"/>
  <c r="E49" i="15"/>
  <c r="F49" i="15" s="1"/>
  <c r="D50" i="15"/>
  <c r="G50" i="15" s="1"/>
  <c r="E50" i="15"/>
  <c r="F50" i="15" s="1"/>
  <c r="D51" i="15"/>
  <c r="E51" i="15"/>
  <c r="D52" i="15"/>
  <c r="E52" i="15"/>
  <c r="D53" i="15"/>
  <c r="E53" i="15"/>
  <c r="E42" i="15"/>
  <c r="D42" i="15"/>
  <c r="G42" i="15" s="1"/>
  <c r="H53" i="15"/>
  <c r="G53" i="15"/>
  <c r="F53" i="15"/>
  <c r="H52" i="15"/>
  <c r="G52" i="15"/>
  <c r="F52" i="15"/>
  <c r="H51" i="15"/>
  <c r="G51" i="15"/>
  <c r="F51" i="15"/>
  <c r="H48" i="15"/>
  <c r="G48" i="15"/>
  <c r="H47" i="15"/>
  <c r="H46" i="15"/>
  <c r="G46" i="15"/>
  <c r="F46" i="15"/>
  <c r="H44" i="15"/>
  <c r="G44" i="15"/>
  <c r="H43" i="15"/>
  <c r="G43" i="15"/>
  <c r="F43" i="15"/>
  <c r="H42" i="15"/>
  <c r="P43" i="15"/>
  <c r="P44" i="15"/>
  <c r="P45" i="15"/>
  <c r="P46" i="15"/>
  <c r="P47" i="15"/>
  <c r="P48" i="15"/>
  <c r="P49" i="15"/>
  <c r="P50" i="15"/>
  <c r="P51" i="15"/>
  <c r="P52" i="15"/>
  <c r="P53" i="15"/>
  <c r="P42" i="15"/>
  <c r="O43" i="15"/>
  <c r="O44" i="15"/>
  <c r="O45" i="15"/>
  <c r="O46" i="15"/>
  <c r="O47" i="15"/>
  <c r="O48" i="15"/>
  <c r="O49" i="15"/>
  <c r="O50" i="15"/>
  <c r="O51" i="15"/>
  <c r="O52" i="15"/>
  <c r="O53" i="15"/>
  <c r="O42" i="15"/>
  <c r="N42" i="15"/>
  <c r="N51" i="15"/>
  <c r="N53" i="15"/>
  <c r="N50" i="15"/>
  <c r="N49" i="15"/>
  <c r="N48" i="15"/>
  <c r="N47" i="15"/>
  <c r="N46" i="15"/>
  <c r="N45" i="15"/>
  <c r="N44" i="15"/>
  <c r="N43" i="15"/>
  <c r="D40" i="14"/>
  <c r="E40" i="14"/>
  <c r="D41" i="14"/>
  <c r="G41" i="14" s="1"/>
  <c r="E41" i="14"/>
  <c r="F41" i="14" s="1"/>
  <c r="D42" i="14"/>
  <c r="E42" i="14"/>
  <c r="H42" i="14" s="1"/>
  <c r="D43" i="14"/>
  <c r="G43" i="14" s="1"/>
  <c r="E43" i="14"/>
  <c r="F43" i="14" s="1"/>
  <c r="D44" i="14"/>
  <c r="E44" i="14"/>
  <c r="F44" i="14" s="1"/>
  <c r="D45" i="14"/>
  <c r="E45" i="14"/>
  <c r="D46" i="14"/>
  <c r="E46" i="14"/>
  <c r="D47" i="14"/>
  <c r="G47" i="14" s="1"/>
  <c r="E47" i="14"/>
  <c r="H47" i="14" s="1"/>
  <c r="D48" i="14"/>
  <c r="G48" i="14" s="1"/>
  <c r="E48" i="14"/>
  <c r="F48" i="14" s="1"/>
  <c r="D49" i="14"/>
  <c r="E49" i="14"/>
  <c r="H49" i="14" s="1"/>
  <c r="E39" i="14"/>
  <c r="H39" i="14" s="1"/>
  <c r="D39" i="14"/>
  <c r="G39" i="14" s="1"/>
  <c r="H40" i="14"/>
  <c r="H41" i="14"/>
  <c r="H45" i="14"/>
  <c r="H46" i="14"/>
  <c r="M48" i="14"/>
  <c r="L48" i="14"/>
  <c r="P49" i="14"/>
  <c r="O49" i="14"/>
  <c r="N49" i="14"/>
  <c r="G49" i="14"/>
  <c r="F49" i="14"/>
  <c r="P48" i="14"/>
  <c r="O48" i="14"/>
  <c r="P47" i="14"/>
  <c r="O47" i="14"/>
  <c r="N47" i="14"/>
  <c r="P46" i="14"/>
  <c r="O46" i="14"/>
  <c r="N46" i="14"/>
  <c r="G46" i="14"/>
  <c r="F46" i="14"/>
  <c r="P45" i="14"/>
  <c r="O45" i="14"/>
  <c r="N45" i="14"/>
  <c r="G45" i="14"/>
  <c r="F45" i="14"/>
  <c r="P44" i="14"/>
  <c r="O44" i="14"/>
  <c r="N44" i="14"/>
  <c r="G44" i="14"/>
  <c r="P43" i="14"/>
  <c r="O43" i="14"/>
  <c r="N43" i="14"/>
  <c r="P42" i="14"/>
  <c r="O42" i="14"/>
  <c r="N42" i="14"/>
  <c r="G42" i="14"/>
  <c r="F42" i="14"/>
  <c r="P41" i="14"/>
  <c r="O41" i="14"/>
  <c r="N41" i="14"/>
  <c r="P40" i="14"/>
  <c r="O40" i="14"/>
  <c r="N40" i="14"/>
  <c r="G40" i="14"/>
  <c r="F40" i="14"/>
  <c r="P39" i="14"/>
  <c r="O39" i="14"/>
  <c r="N39" i="14"/>
  <c r="G50" i="4"/>
  <c r="G51" i="4"/>
  <c r="G37" i="4"/>
  <c r="G38" i="4"/>
  <c r="G24" i="4"/>
  <c r="G25" i="4"/>
  <c r="F10" i="4"/>
  <c r="F11" i="4"/>
  <c r="F9" i="4"/>
  <c r="F51" i="12"/>
  <c r="F52" i="12"/>
  <c r="F37" i="12"/>
  <c r="F38" i="12"/>
  <c r="F23" i="12"/>
  <c r="F24" i="12"/>
  <c r="G68" i="15"/>
  <c r="G59" i="15"/>
  <c r="F59" i="15"/>
  <c r="D58" i="15"/>
  <c r="G58" i="15" s="1"/>
  <c r="E58" i="15"/>
  <c r="H58" i="15" s="1"/>
  <c r="D59" i="15"/>
  <c r="E59" i="15"/>
  <c r="D60" i="15"/>
  <c r="E60" i="15"/>
  <c r="D61" i="15"/>
  <c r="E61" i="15"/>
  <c r="F61" i="15" s="1"/>
  <c r="D62" i="15"/>
  <c r="G62" i="15" s="1"/>
  <c r="E62" i="15"/>
  <c r="D63" i="15"/>
  <c r="G63" i="15" s="1"/>
  <c r="E63" i="15"/>
  <c r="F63" i="15" s="1"/>
  <c r="D64" i="15"/>
  <c r="G64" i="15" s="1"/>
  <c r="E64" i="15"/>
  <c r="D65" i="15"/>
  <c r="G65" i="15" s="1"/>
  <c r="E65" i="15"/>
  <c r="D66" i="15"/>
  <c r="G66" i="15" s="1"/>
  <c r="E66" i="15"/>
  <c r="D67" i="15"/>
  <c r="E67" i="15"/>
  <c r="D68" i="15"/>
  <c r="E68" i="15"/>
  <c r="H68" i="15" s="1"/>
  <c r="E57" i="15"/>
  <c r="D57" i="15"/>
  <c r="G57" i="15" s="1"/>
  <c r="O58" i="15"/>
  <c r="P58" i="15"/>
  <c r="O59" i="15"/>
  <c r="P59" i="15"/>
  <c r="O60" i="15"/>
  <c r="P60" i="15"/>
  <c r="O61" i="15"/>
  <c r="P61" i="15"/>
  <c r="O62" i="15"/>
  <c r="P62" i="15"/>
  <c r="O63" i="15"/>
  <c r="P63" i="15"/>
  <c r="O64" i="15"/>
  <c r="P64" i="15"/>
  <c r="O65" i="15"/>
  <c r="P65" i="15"/>
  <c r="O66" i="15"/>
  <c r="P66" i="15"/>
  <c r="O67" i="15"/>
  <c r="P67" i="15"/>
  <c r="O68" i="15"/>
  <c r="P68" i="15"/>
  <c r="P57" i="15"/>
  <c r="O57" i="15"/>
  <c r="N58" i="15"/>
  <c r="N59" i="15"/>
  <c r="N60" i="15"/>
  <c r="N61" i="15"/>
  <c r="N62" i="15"/>
  <c r="N63" i="15"/>
  <c r="N64" i="15"/>
  <c r="N65" i="15"/>
  <c r="N66" i="15"/>
  <c r="N67" i="15"/>
  <c r="N68" i="15"/>
  <c r="N57" i="15"/>
  <c r="F55" i="14"/>
  <c r="P53" i="14"/>
  <c r="O53" i="14"/>
  <c r="N53" i="14"/>
  <c r="G53" i="14"/>
  <c r="M62" i="14"/>
  <c r="P62" i="14" s="1"/>
  <c r="L62" i="14"/>
  <c r="E76" i="14"/>
  <c r="D76" i="14"/>
  <c r="M76" i="14"/>
  <c r="L76" i="14"/>
  <c r="O76" i="14" s="1"/>
  <c r="D90" i="14"/>
  <c r="E90" i="14"/>
  <c r="H90" i="14" s="1"/>
  <c r="P63" i="14"/>
  <c r="O63" i="14"/>
  <c r="P61" i="14"/>
  <c r="O61" i="14"/>
  <c r="P60" i="14"/>
  <c r="O60" i="14"/>
  <c r="P59" i="14"/>
  <c r="O59" i="14"/>
  <c r="P58" i="14"/>
  <c r="O58" i="14"/>
  <c r="P57" i="14"/>
  <c r="O57" i="14"/>
  <c r="P56" i="14"/>
  <c r="O56" i="14"/>
  <c r="P55" i="14"/>
  <c r="O55" i="14"/>
  <c r="P54" i="14"/>
  <c r="O54" i="14"/>
  <c r="N63" i="14"/>
  <c r="N61" i="14"/>
  <c r="N60" i="14"/>
  <c r="N59" i="14"/>
  <c r="N58" i="14"/>
  <c r="N57" i="14"/>
  <c r="N56" i="14"/>
  <c r="N55" i="14"/>
  <c r="N54" i="14"/>
  <c r="F54" i="14"/>
  <c r="F50" i="4"/>
  <c r="F51" i="4"/>
  <c r="F37" i="4"/>
  <c r="F38" i="4"/>
  <c r="F24" i="4"/>
  <c r="F25" i="4"/>
  <c r="E52" i="12"/>
  <c r="E51" i="12"/>
  <c r="E37" i="12"/>
  <c r="E38" i="12"/>
  <c r="E23" i="12"/>
  <c r="E24" i="12"/>
  <c r="F67" i="14"/>
  <c r="G68" i="14"/>
  <c r="H68" i="14"/>
  <c r="G69" i="14"/>
  <c r="G70" i="14"/>
  <c r="F73" i="14"/>
  <c r="G74" i="14"/>
  <c r="H74" i="14"/>
  <c r="G75" i="14"/>
  <c r="F75" i="14"/>
  <c r="G77" i="14"/>
  <c r="H69" i="14"/>
  <c r="G67" i="14"/>
  <c r="H73" i="14"/>
  <c r="G73" i="14"/>
  <c r="G72" i="14"/>
  <c r="F72" i="14"/>
  <c r="H71" i="14"/>
  <c r="G71" i="14"/>
  <c r="F71" i="14"/>
  <c r="H70" i="14"/>
  <c r="F70" i="14"/>
  <c r="P67" i="14"/>
  <c r="P68" i="14"/>
  <c r="P69" i="14"/>
  <c r="P70" i="14"/>
  <c r="P71" i="14"/>
  <c r="P72" i="14"/>
  <c r="P73" i="14"/>
  <c r="P74" i="14"/>
  <c r="P75" i="14"/>
  <c r="P77" i="14"/>
  <c r="O68" i="14"/>
  <c r="O69" i="14"/>
  <c r="O70" i="14"/>
  <c r="O71" i="14"/>
  <c r="O72" i="14"/>
  <c r="O73" i="14"/>
  <c r="O74" i="14"/>
  <c r="O75" i="14"/>
  <c r="O77" i="14"/>
  <c r="O67" i="14"/>
  <c r="N67" i="14"/>
  <c r="N77" i="14"/>
  <c r="N75" i="14"/>
  <c r="N74" i="14"/>
  <c r="N73" i="14"/>
  <c r="N72" i="14"/>
  <c r="N71" i="14"/>
  <c r="N70" i="14"/>
  <c r="N69" i="14"/>
  <c r="N68" i="14"/>
  <c r="E50" i="4"/>
  <c r="E51" i="4"/>
  <c r="E37" i="4"/>
  <c r="E38" i="4"/>
  <c r="E24" i="4"/>
  <c r="E25" i="4"/>
  <c r="D9" i="4"/>
  <c r="D11" i="4" s="1"/>
  <c r="D52" i="12"/>
  <c r="C52" i="12"/>
  <c r="D51" i="12"/>
  <c r="C51" i="12"/>
  <c r="D38" i="12"/>
  <c r="C38" i="12"/>
  <c r="D37" i="12"/>
  <c r="C37" i="12"/>
  <c r="D24" i="12"/>
  <c r="C24" i="12"/>
  <c r="D23" i="12"/>
  <c r="C23" i="12"/>
  <c r="F82" i="14"/>
  <c r="F72" i="15"/>
  <c r="F83" i="15"/>
  <c r="F82" i="15"/>
  <c r="F81" i="15"/>
  <c r="F80" i="15"/>
  <c r="F79" i="15"/>
  <c r="F78" i="15"/>
  <c r="F77" i="15"/>
  <c r="F76" i="15"/>
  <c r="F75" i="15"/>
  <c r="F74" i="15"/>
  <c r="F73" i="15"/>
  <c r="H91" i="14"/>
  <c r="G91" i="14"/>
  <c r="F91" i="14"/>
  <c r="H89" i="14"/>
  <c r="G89" i="14"/>
  <c r="F89" i="14"/>
  <c r="H88" i="14"/>
  <c r="G88" i="14"/>
  <c r="F88" i="14"/>
  <c r="H87" i="14"/>
  <c r="G87" i="14"/>
  <c r="F87" i="14"/>
  <c r="H86" i="14"/>
  <c r="G86" i="14"/>
  <c r="F86" i="14"/>
  <c r="H85" i="14"/>
  <c r="G85" i="14"/>
  <c r="F85" i="14"/>
  <c r="H84" i="14"/>
  <c r="G84" i="14"/>
  <c r="F84" i="14"/>
  <c r="H83" i="14"/>
  <c r="G83" i="14"/>
  <c r="F83" i="14"/>
  <c r="H82" i="14"/>
  <c r="G82" i="14"/>
  <c r="H81" i="14"/>
  <c r="G81" i="14"/>
  <c r="F81" i="14"/>
  <c r="D51" i="4"/>
  <c r="C51" i="4"/>
  <c r="D50" i="4"/>
  <c r="C50" i="4"/>
  <c r="D38" i="4"/>
  <c r="C38" i="4"/>
  <c r="D37" i="4"/>
  <c r="C37" i="4"/>
  <c r="C10" i="4"/>
  <c r="D25" i="4"/>
  <c r="D24" i="4"/>
  <c r="C25" i="4"/>
  <c r="C22" i="4"/>
  <c r="C24" i="4"/>
  <c r="M15" i="15"/>
  <c r="D88" i="15"/>
  <c r="N28" i="15" s="1"/>
  <c r="E88" i="15"/>
  <c r="D89" i="15"/>
  <c r="E89" i="15"/>
  <c r="D90" i="15"/>
  <c r="E90" i="15"/>
  <c r="D91" i="15"/>
  <c r="N31" i="15" s="1"/>
  <c r="E91" i="15"/>
  <c r="D92" i="15"/>
  <c r="N32" i="15" s="1"/>
  <c r="E92" i="15"/>
  <c r="D93" i="15"/>
  <c r="N33" i="15" s="1"/>
  <c r="E93" i="15"/>
  <c r="N21" i="15" s="1"/>
  <c r="D94" i="15"/>
  <c r="E94" i="15"/>
  <c r="N22" i="15" s="1"/>
  <c r="D95" i="15"/>
  <c r="E95" i="15"/>
  <c r="D97" i="15"/>
  <c r="E97" i="15"/>
  <c r="D98" i="15"/>
  <c r="E98" i="15"/>
  <c r="E87" i="15"/>
  <c r="D87" i="15"/>
  <c r="N27" i="15" s="1"/>
  <c r="P88" i="15"/>
  <c r="P89" i="15"/>
  <c r="P90" i="15"/>
  <c r="P91" i="15"/>
  <c r="P92" i="15"/>
  <c r="P93" i="15"/>
  <c r="P94" i="15"/>
  <c r="P95" i="15"/>
  <c r="P96" i="15"/>
  <c r="P97" i="15"/>
  <c r="P98" i="15"/>
  <c r="P87" i="15"/>
  <c r="O88" i="15"/>
  <c r="O89" i="15"/>
  <c r="O90" i="15"/>
  <c r="O91" i="15"/>
  <c r="O92" i="15"/>
  <c r="O93" i="15"/>
  <c r="O94" i="15"/>
  <c r="O95" i="15"/>
  <c r="O96" i="15"/>
  <c r="O97" i="15"/>
  <c r="O98" i="15"/>
  <c r="O87" i="15"/>
  <c r="N88" i="15"/>
  <c r="N89" i="15"/>
  <c r="N90" i="15"/>
  <c r="N91" i="15"/>
  <c r="N92" i="15"/>
  <c r="N93" i="15"/>
  <c r="N94" i="15"/>
  <c r="N95" i="15"/>
  <c r="N96" i="15"/>
  <c r="N97" i="15"/>
  <c r="N98" i="15"/>
  <c r="N87" i="15"/>
  <c r="N15" i="14"/>
  <c r="N16" i="14"/>
  <c r="N17" i="14"/>
  <c r="N18" i="14"/>
  <c r="N19" i="14"/>
  <c r="N20" i="14"/>
  <c r="N21" i="14"/>
  <c r="N22" i="14"/>
  <c r="N23" i="14"/>
  <c r="N14" i="14"/>
  <c r="N27" i="14"/>
  <c r="N28" i="14"/>
  <c r="N29" i="14"/>
  <c r="N30" i="14"/>
  <c r="N31" i="14"/>
  <c r="N32" i="14"/>
  <c r="N33" i="14"/>
  <c r="N34" i="14"/>
  <c r="N35" i="14"/>
  <c r="N26" i="14"/>
  <c r="H96" i="14"/>
  <c r="H97" i="14"/>
  <c r="H98" i="14"/>
  <c r="H99" i="14"/>
  <c r="H100" i="14"/>
  <c r="H101" i="14"/>
  <c r="H102" i="14"/>
  <c r="H103" i="14"/>
  <c r="H104" i="14"/>
  <c r="H105" i="14"/>
  <c r="H106" i="14"/>
  <c r="H95" i="14"/>
  <c r="G96" i="14"/>
  <c r="G97" i="14"/>
  <c r="G98" i="14"/>
  <c r="G99" i="14"/>
  <c r="G100" i="14"/>
  <c r="G101" i="14"/>
  <c r="G102" i="14"/>
  <c r="G103" i="14"/>
  <c r="G104" i="14"/>
  <c r="G105" i="14"/>
  <c r="G106" i="14"/>
  <c r="G95" i="14"/>
  <c r="F95" i="14"/>
  <c r="F101" i="14"/>
  <c r="F102" i="14"/>
  <c r="F103" i="14"/>
  <c r="P96" i="14"/>
  <c r="P97" i="14"/>
  <c r="P98" i="14"/>
  <c r="P99" i="14"/>
  <c r="P100" i="14"/>
  <c r="P101" i="14"/>
  <c r="P102" i="14"/>
  <c r="P103" i="14"/>
  <c r="P104" i="14"/>
  <c r="P105" i="14"/>
  <c r="P106" i="14"/>
  <c r="P95" i="14"/>
  <c r="O96" i="14"/>
  <c r="O97" i="14"/>
  <c r="O98" i="14"/>
  <c r="O99" i="14"/>
  <c r="O100" i="14"/>
  <c r="O101" i="14"/>
  <c r="O102" i="14"/>
  <c r="O103" i="14"/>
  <c r="O104" i="14"/>
  <c r="O105" i="14"/>
  <c r="O106" i="14"/>
  <c r="O95" i="14"/>
  <c r="F96" i="14"/>
  <c r="F97" i="14"/>
  <c r="F98" i="14"/>
  <c r="F99" i="14"/>
  <c r="F100" i="14"/>
  <c r="F104" i="14"/>
  <c r="F105" i="14"/>
  <c r="F106" i="14"/>
  <c r="N106" i="14"/>
  <c r="N105" i="14"/>
  <c r="N104" i="14"/>
  <c r="N103" i="14"/>
  <c r="N102" i="14"/>
  <c r="N101" i="14"/>
  <c r="N100" i="14"/>
  <c r="N99" i="14"/>
  <c r="N98" i="14"/>
  <c r="N97" i="14"/>
  <c r="N96" i="14"/>
  <c r="N95" i="14"/>
  <c r="O7" i="4"/>
  <c r="AG5" i="25"/>
  <c r="AG6" i="25"/>
  <c r="AG7" i="25"/>
  <c r="AG8" i="25"/>
  <c r="AG9" i="25"/>
  <c r="AG10" i="25"/>
  <c r="AG11" i="25"/>
  <c r="AG12" i="25"/>
  <c r="AG13" i="25"/>
  <c r="AG14" i="25"/>
  <c r="I9" i="17"/>
  <c r="I4" i="17"/>
  <c r="AF31" i="25"/>
  <c r="AG31" i="25" s="1"/>
  <c r="F47" i="15" l="1"/>
  <c r="H49" i="15"/>
  <c r="F45" i="15"/>
  <c r="H50" i="15"/>
  <c r="F42" i="15"/>
  <c r="H64" i="15"/>
  <c r="H57" i="15"/>
  <c r="H60" i="15"/>
  <c r="H67" i="15"/>
  <c r="H59" i="15"/>
  <c r="F60" i="15"/>
  <c r="H61" i="15"/>
  <c r="N52" i="15"/>
  <c r="H62" i="15"/>
  <c r="H63" i="15"/>
  <c r="F68" i="15"/>
  <c r="G60" i="15"/>
  <c r="G67" i="15"/>
  <c r="H66" i="15"/>
  <c r="F57" i="15"/>
  <c r="F65" i="15"/>
  <c r="H48" i="14"/>
  <c r="H44" i="14"/>
  <c r="H43" i="14"/>
  <c r="F39" i="14"/>
  <c r="F47" i="14"/>
  <c r="N48" i="14"/>
  <c r="H65" i="15"/>
  <c r="G61" i="15"/>
  <c r="F58" i="15"/>
  <c r="F67" i="15"/>
  <c r="F62" i="15"/>
  <c r="F64" i="15"/>
  <c r="F66" i="15"/>
  <c r="D10" i="4"/>
  <c r="E9" i="4"/>
  <c r="F95" i="15"/>
  <c r="N35" i="15"/>
  <c r="G95" i="15"/>
  <c r="G92" i="15"/>
  <c r="G93" i="15"/>
  <c r="G94" i="15"/>
  <c r="G97" i="15"/>
  <c r="N29" i="15"/>
  <c r="G89" i="15"/>
  <c r="G98" i="15"/>
  <c r="G81" i="15"/>
  <c r="G75" i="15"/>
  <c r="H77" i="15"/>
  <c r="H76" i="15"/>
  <c r="H81" i="15"/>
  <c r="H75" i="15"/>
  <c r="H80" i="15"/>
  <c r="H78" i="15"/>
  <c r="G56" i="14"/>
  <c r="G57" i="14"/>
  <c r="G58" i="14"/>
  <c r="G59" i="14"/>
  <c r="G60" i="14"/>
  <c r="F76" i="14"/>
  <c r="G61" i="14"/>
  <c r="F53" i="14"/>
  <c r="H53" i="14"/>
  <c r="H62" i="14"/>
  <c r="N62" i="14"/>
  <c r="O62" i="14"/>
  <c r="G62" i="14"/>
  <c r="H56" i="14"/>
  <c r="F56" i="14"/>
  <c r="H57" i="14"/>
  <c r="F57" i="14"/>
  <c r="H58" i="14"/>
  <c r="F58" i="14"/>
  <c r="H59" i="14"/>
  <c r="F59" i="14"/>
  <c r="H60" i="14"/>
  <c r="F60" i="14"/>
  <c r="H61" i="14"/>
  <c r="F61" i="14"/>
  <c r="G63" i="14"/>
  <c r="G55" i="14"/>
  <c r="G54" i="14"/>
  <c r="H63" i="14"/>
  <c r="H55" i="14"/>
  <c r="H54" i="14"/>
  <c r="F63" i="14"/>
  <c r="F62" i="14"/>
  <c r="N76" i="14"/>
  <c r="P76" i="14"/>
  <c r="G90" i="14"/>
  <c r="F90" i="14"/>
  <c r="F93" i="15"/>
  <c r="G76" i="15"/>
  <c r="G72" i="15"/>
  <c r="G91" i="15"/>
  <c r="G79" i="15"/>
  <c r="F90" i="15"/>
  <c r="G73" i="15"/>
  <c r="H79" i="15"/>
  <c r="G90" i="15"/>
  <c r="H73" i="15"/>
  <c r="F94" i="15"/>
  <c r="G80" i="15"/>
  <c r="G74" i="15"/>
  <c r="H74" i="15"/>
  <c r="H75" i="14"/>
  <c r="H76" i="14"/>
  <c r="G76" i="14"/>
  <c r="H72" i="14"/>
  <c r="F77" i="14"/>
  <c r="H67" i="14"/>
  <c r="F68" i="14"/>
  <c r="H77" i="14"/>
  <c r="F74" i="14"/>
  <c r="F69" i="14"/>
  <c r="G88" i="15"/>
  <c r="G82" i="15"/>
  <c r="G77" i="15"/>
  <c r="H82" i="15"/>
  <c r="H89" i="15"/>
  <c r="H94" i="15"/>
  <c r="H72" i="15"/>
  <c r="G83" i="15"/>
  <c r="N34" i="15"/>
  <c r="H97" i="15"/>
  <c r="H88" i="15"/>
  <c r="G78" i="15"/>
  <c r="H83" i="15"/>
  <c r="H87" i="15"/>
  <c r="H98" i="15"/>
  <c r="H95" i="15"/>
  <c r="F87" i="15"/>
  <c r="G87" i="15"/>
  <c r="H93" i="15"/>
  <c r="N15" i="15"/>
  <c r="N30" i="15"/>
  <c r="F88" i="15"/>
  <c r="H92" i="15"/>
  <c r="N16" i="15"/>
  <c r="F89" i="15"/>
  <c r="H91" i="15"/>
  <c r="N17" i="15"/>
  <c r="H90" i="15"/>
  <c r="N19" i="15"/>
  <c r="N18" i="15"/>
  <c r="F92" i="15"/>
  <c r="N20" i="15"/>
  <c r="F91" i="15"/>
  <c r="N23" i="15"/>
  <c r="F97" i="15"/>
  <c r="F98" i="15"/>
  <c r="X32" i="25"/>
  <c r="T32" i="25"/>
  <c r="P32" i="25"/>
  <c r="L32" i="25"/>
  <c r="H32" i="25"/>
  <c r="D32" i="25"/>
  <c r="E10" i="4" l="1"/>
  <c r="E11" i="4"/>
  <c r="D15" i="25"/>
  <c r="M36" i="16" l="1"/>
  <c r="O48" i="12" l="1"/>
  <c r="O43" i="12"/>
  <c r="O34" i="12"/>
  <c r="O29" i="12"/>
  <c r="O20" i="12"/>
  <c r="O15" i="12"/>
  <c r="N48" i="12"/>
  <c r="N49" i="12"/>
  <c r="N34" i="12"/>
  <c r="N35" i="12"/>
  <c r="N20" i="12"/>
  <c r="N21" i="12"/>
  <c r="M48" i="12"/>
  <c r="M49" i="12"/>
  <c r="M34" i="12"/>
  <c r="M35" i="12"/>
  <c r="M20" i="12"/>
  <c r="M21" i="12"/>
  <c r="I9" i="12"/>
  <c r="I6" i="12"/>
  <c r="E9" i="12"/>
  <c r="E6" i="12"/>
  <c r="N20" i="16"/>
  <c r="N21" i="16"/>
  <c r="N22" i="16"/>
  <c r="N23" i="16"/>
  <c r="N24" i="16"/>
  <c r="N25" i="16"/>
  <c r="N26" i="16"/>
  <c r="N27" i="16"/>
  <c r="N28" i="16"/>
  <c r="N29" i="16"/>
  <c r="N30" i="16"/>
  <c r="N19" i="16"/>
  <c r="M20" i="16"/>
  <c r="M21" i="16"/>
  <c r="M22" i="16"/>
  <c r="M23" i="16"/>
  <c r="M24" i="16"/>
  <c r="M25" i="16"/>
  <c r="M26" i="16"/>
  <c r="M27" i="16"/>
  <c r="M28" i="16"/>
  <c r="M29" i="16"/>
  <c r="M30" i="16"/>
  <c r="M19" i="16"/>
  <c r="L20" i="16"/>
  <c r="L21" i="16"/>
  <c r="L22" i="16"/>
  <c r="L23" i="16"/>
  <c r="L24" i="16"/>
  <c r="L25" i="16"/>
  <c r="L26" i="16"/>
  <c r="L27" i="16"/>
  <c r="L28" i="16"/>
  <c r="L29" i="16"/>
  <c r="L31" i="16"/>
  <c r="L19" i="16"/>
  <c r="K20" i="16"/>
  <c r="K21" i="16"/>
  <c r="K22" i="16"/>
  <c r="K23" i="16"/>
  <c r="K24" i="16"/>
  <c r="K25" i="16"/>
  <c r="K26" i="16"/>
  <c r="K27" i="16"/>
  <c r="K28" i="16"/>
  <c r="K29" i="16"/>
  <c r="K30" i="16"/>
  <c r="K31" i="16"/>
  <c r="K19" i="16"/>
  <c r="J20" i="16"/>
  <c r="J21" i="16"/>
  <c r="J22" i="16"/>
  <c r="J23" i="16"/>
  <c r="J24" i="16"/>
  <c r="J25" i="16"/>
  <c r="J26" i="16"/>
  <c r="J27" i="16"/>
  <c r="J28" i="16"/>
  <c r="J29" i="16"/>
  <c r="J30" i="16"/>
  <c r="J31" i="16"/>
  <c r="J19" i="16"/>
  <c r="I20" i="16"/>
  <c r="I21" i="16"/>
  <c r="I22" i="16"/>
  <c r="I23" i="16"/>
  <c r="I24" i="16"/>
  <c r="I25" i="16"/>
  <c r="I26" i="16"/>
  <c r="I27" i="16"/>
  <c r="I28" i="16"/>
  <c r="I29" i="16"/>
  <c r="I30" i="16"/>
  <c r="I31" i="16"/>
  <c r="I19" i="16"/>
  <c r="H20" i="16"/>
  <c r="H21" i="16"/>
  <c r="H22" i="16"/>
  <c r="H23" i="16"/>
  <c r="H24" i="16"/>
  <c r="H25" i="16"/>
  <c r="H26" i="16"/>
  <c r="H27" i="16"/>
  <c r="H29" i="16"/>
  <c r="H30" i="16"/>
  <c r="H31" i="16"/>
  <c r="H19" i="16"/>
  <c r="G19" i="16"/>
  <c r="G20" i="16"/>
  <c r="G21" i="16"/>
  <c r="G22" i="16"/>
  <c r="G23" i="16"/>
  <c r="G24" i="16"/>
  <c r="G25" i="16"/>
  <c r="G26" i="16"/>
  <c r="G27" i="16"/>
  <c r="G29" i="16"/>
  <c r="G30" i="16"/>
  <c r="G31" i="16"/>
  <c r="F20" i="16"/>
  <c r="F21" i="16"/>
  <c r="F22" i="16"/>
  <c r="F23" i="16"/>
  <c r="F24" i="16"/>
  <c r="F25" i="16"/>
  <c r="F26" i="16"/>
  <c r="F27" i="16"/>
  <c r="F29" i="16"/>
  <c r="F30" i="16"/>
  <c r="F31" i="16"/>
  <c r="F19" i="16"/>
  <c r="E20" i="16"/>
  <c r="E21" i="16"/>
  <c r="E22" i="16"/>
  <c r="E23" i="16"/>
  <c r="E24" i="16"/>
  <c r="E25" i="16"/>
  <c r="E26" i="16"/>
  <c r="E27" i="16"/>
  <c r="E29" i="16"/>
  <c r="E30" i="16"/>
  <c r="E31" i="16"/>
  <c r="E19" i="16"/>
  <c r="H43" i="16"/>
  <c r="I43" i="16"/>
  <c r="J43" i="16"/>
  <c r="K43" i="16"/>
  <c r="L43" i="16"/>
  <c r="M43" i="16"/>
  <c r="N43" i="16"/>
  <c r="D20" i="16"/>
  <c r="D21" i="16"/>
  <c r="D22" i="16"/>
  <c r="D23" i="16"/>
  <c r="D24" i="16"/>
  <c r="D25" i="16"/>
  <c r="D26" i="16"/>
  <c r="D27" i="16"/>
  <c r="D29" i="16"/>
  <c r="D30" i="16"/>
  <c r="D31" i="16"/>
  <c r="D19" i="16"/>
  <c r="C20" i="16"/>
  <c r="C21" i="16"/>
  <c r="C22" i="16"/>
  <c r="C23" i="16"/>
  <c r="C24" i="16"/>
  <c r="C25" i="16"/>
  <c r="C26" i="16"/>
  <c r="C27" i="16"/>
  <c r="C31" i="16"/>
  <c r="C19" i="16"/>
  <c r="N35" i="16"/>
  <c r="N36" i="16"/>
  <c r="N37" i="16"/>
  <c r="N38" i="16"/>
  <c r="N39" i="16"/>
  <c r="N40" i="16"/>
  <c r="N41" i="16"/>
  <c r="N42" i="16"/>
  <c r="N45" i="16"/>
  <c r="N46" i="16"/>
  <c r="N34" i="16"/>
  <c r="M35" i="16"/>
  <c r="M37" i="16"/>
  <c r="M38" i="16"/>
  <c r="M39" i="16"/>
  <c r="M40" i="16"/>
  <c r="M41" i="16"/>
  <c r="M42" i="16"/>
  <c r="M45" i="16"/>
  <c r="M46" i="16"/>
  <c r="M34" i="16"/>
  <c r="L34" i="16"/>
  <c r="L35" i="16"/>
  <c r="L36" i="16"/>
  <c r="L37" i="16"/>
  <c r="L38" i="16"/>
  <c r="L39" i="16"/>
  <c r="L40" i="16"/>
  <c r="L41" i="16"/>
  <c r="L42" i="16"/>
  <c r="L44" i="16"/>
  <c r="L45" i="16"/>
  <c r="L46" i="16"/>
  <c r="K35" i="16"/>
  <c r="K36" i="16"/>
  <c r="K37" i="16"/>
  <c r="K38" i="16"/>
  <c r="K39" i="16"/>
  <c r="K40" i="16"/>
  <c r="K41" i="16"/>
  <c r="K42" i="16"/>
  <c r="K44" i="16"/>
  <c r="K45" i="16"/>
  <c r="K46" i="16"/>
  <c r="K34" i="16"/>
  <c r="J35" i="16"/>
  <c r="J36" i="16"/>
  <c r="J37" i="16"/>
  <c r="J38" i="16"/>
  <c r="J39" i="16"/>
  <c r="J40" i="16"/>
  <c r="J41" i="16"/>
  <c r="J42" i="16"/>
  <c r="J44" i="16"/>
  <c r="J45" i="16"/>
  <c r="J46" i="16"/>
  <c r="J34" i="16"/>
  <c r="I35" i="16"/>
  <c r="I36" i="16"/>
  <c r="I37" i="16"/>
  <c r="I38" i="16"/>
  <c r="I39" i="16"/>
  <c r="I40" i="16"/>
  <c r="I41" i="16"/>
  <c r="I42" i="16"/>
  <c r="I44" i="16"/>
  <c r="I46" i="16"/>
  <c r="I34" i="16"/>
  <c r="H35" i="16"/>
  <c r="H36" i="16"/>
  <c r="H37" i="16"/>
  <c r="H38" i="16"/>
  <c r="H39" i="16"/>
  <c r="H40" i="16"/>
  <c r="H41" i="16"/>
  <c r="H42" i="16"/>
  <c r="H44" i="16"/>
  <c r="H45" i="16"/>
  <c r="H46" i="16"/>
  <c r="H34" i="16"/>
  <c r="G34" i="16"/>
  <c r="G35" i="16"/>
  <c r="G36" i="16"/>
  <c r="G37" i="16"/>
  <c r="G38" i="16"/>
  <c r="G39" i="16"/>
  <c r="G40" i="16"/>
  <c r="G41" i="16"/>
  <c r="G42" i="16"/>
  <c r="G44" i="16"/>
  <c r="G45" i="16"/>
  <c r="G46" i="16"/>
  <c r="F35" i="16"/>
  <c r="F36" i="16"/>
  <c r="F37" i="16"/>
  <c r="F38" i="16"/>
  <c r="F39" i="16"/>
  <c r="F40" i="16"/>
  <c r="F41" i="16"/>
  <c r="F42" i="16"/>
  <c r="F44" i="16"/>
  <c r="F46" i="16"/>
  <c r="F34" i="16"/>
  <c r="E35" i="16"/>
  <c r="E36" i="16"/>
  <c r="E37" i="16"/>
  <c r="E38" i="16"/>
  <c r="E39" i="16"/>
  <c r="E40" i="16"/>
  <c r="E41" i="16"/>
  <c r="E42" i="16"/>
  <c r="E44" i="16"/>
  <c r="E46" i="16"/>
  <c r="E34" i="16"/>
  <c r="D35" i="16"/>
  <c r="D36" i="16"/>
  <c r="D37" i="16"/>
  <c r="D38" i="16"/>
  <c r="D39" i="16"/>
  <c r="D40" i="16"/>
  <c r="D41" i="16"/>
  <c r="D42" i="16"/>
  <c r="D44" i="16"/>
  <c r="D46" i="16"/>
  <c r="D34" i="16"/>
  <c r="C40" i="16"/>
  <c r="C34" i="16"/>
  <c r="C35" i="16"/>
  <c r="C36" i="16"/>
  <c r="C37" i="16"/>
  <c r="C38" i="16"/>
  <c r="C39" i="16"/>
  <c r="C41" i="16"/>
  <c r="C42" i="16"/>
  <c r="C44" i="16"/>
  <c r="C46" i="16"/>
  <c r="D9" i="12"/>
  <c r="F9" i="12"/>
  <c r="F6" i="12"/>
  <c r="G6" i="12"/>
  <c r="H6" i="12"/>
  <c r="D6" i="12"/>
  <c r="I4" i="12"/>
  <c r="E4" i="12"/>
  <c r="F4" i="12"/>
  <c r="G4" i="12"/>
  <c r="H4" i="12"/>
  <c r="D4" i="12"/>
  <c r="F366" i="16"/>
  <c r="E409" i="15"/>
  <c r="E424" i="15"/>
  <c r="C33" i="15"/>
  <c r="M24" i="15"/>
  <c r="L24" i="15"/>
  <c r="K24" i="15"/>
  <c r="I24" i="15"/>
  <c r="H24" i="15"/>
  <c r="G24" i="15"/>
  <c r="F24" i="15"/>
  <c r="E24" i="15"/>
  <c r="C24" i="15"/>
  <c r="M23" i="15"/>
  <c r="L23" i="15"/>
  <c r="K23" i="15"/>
  <c r="I23" i="15"/>
  <c r="H23" i="15"/>
  <c r="G23" i="15"/>
  <c r="F23" i="15"/>
  <c r="E23" i="15"/>
  <c r="C23" i="15"/>
  <c r="M22" i="15"/>
  <c r="L22" i="15"/>
  <c r="K22" i="15"/>
  <c r="I22" i="15"/>
  <c r="M21" i="15"/>
  <c r="L21" i="15"/>
  <c r="K21" i="15"/>
  <c r="I21" i="15"/>
  <c r="H21" i="15"/>
  <c r="G21" i="15"/>
  <c r="F21" i="15"/>
  <c r="E21" i="15"/>
  <c r="M20" i="15"/>
  <c r="L20" i="15"/>
  <c r="K20" i="15"/>
  <c r="I20" i="15"/>
  <c r="H20" i="15"/>
  <c r="G20" i="15"/>
  <c r="F20" i="15"/>
  <c r="E20" i="15"/>
  <c r="C20" i="15"/>
  <c r="M19" i="15"/>
  <c r="L19" i="15"/>
  <c r="K19" i="15"/>
  <c r="I19" i="15"/>
  <c r="H19" i="15"/>
  <c r="G19" i="15"/>
  <c r="F19" i="15"/>
  <c r="E19" i="15"/>
  <c r="C19" i="15"/>
  <c r="M18" i="15"/>
  <c r="L18" i="15"/>
  <c r="K18" i="15"/>
  <c r="I18" i="15"/>
  <c r="H18" i="15"/>
  <c r="G18" i="15"/>
  <c r="F18" i="15"/>
  <c r="E18" i="15"/>
  <c r="C18" i="15"/>
  <c r="M17" i="15"/>
  <c r="L17" i="15"/>
  <c r="K17" i="15"/>
  <c r="I17" i="15"/>
  <c r="H17" i="15"/>
  <c r="G17" i="15"/>
  <c r="F17" i="15"/>
  <c r="E17" i="15"/>
  <c r="C17" i="15"/>
  <c r="M16" i="15"/>
  <c r="L16" i="15"/>
  <c r="K16" i="15"/>
  <c r="I16" i="15"/>
  <c r="G16" i="15"/>
  <c r="F16" i="15"/>
  <c r="E16" i="15"/>
  <c r="C16" i="15"/>
  <c r="L15" i="15"/>
  <c r="K15" i="15"/>
  <c r="I15" i="15"/>
  <c r="H15" i="15"/>
  <c r="G15" i="15"/>
  <c r="F15" i="15"/>
  <c r="E15" i="15"/>
  <c r="C15" i="15"/>
  <c r="M36" i="15"/>
  <c r="L36" i="15"/>
  <c r="K36" i="15"/>
  <c r="I36" i="15"/>
  <c r="H36" i="15"/>
  <c r="G36" i="15"/>
  <c r="F36" i="15"/>
  <c r="E36" i="15"/>
  <c r="C36" i="15"/>
  <c r="M35" i="15"/>
  <c r="L35" i="15"/>
  <c r="K35" i="15"/>
  <c r="I35" i="15"/>
  <c r="H35" i="15"/>
  <c r="G35" i="15"/>
  <c r="F35" i="15"/>
  <c r="E35" i="15"/>
  <c r="C35" i="15"/>
  <c r="M34" i="15"/>
  <c r="L34" i="15"/>
  <c r="K34" i="15"/>
  <c r="I34" i="15"/>
  <c r="M33" i="15"/>
  <c r="L33" i="15"/>
  <c r="K33" i="15"/>
  <c r="I33" i="15"/>
  <c r="H33" i="15"/>
  <c r="G33" i="15"/>
  <c r="F33" i="15"/>
  <c r="E33" i="15"/>
  <c r="M32" i="15"/>
  <c r="L32" i="15"/>
  <c r="K32" i="15"/>
  <c r="I32" i="15"/>
  <c r="H32" i="15"/>
  <c r="G32" i="15"/>
  <c r="F32" i="15"/>
  <c r="E32" i="15"/>
  <c r="C32" i="15"/>
  <c r="M31" i="15"/>
  <c r="L31" i="15"/>
  <c r="K31" i="15"/>
  <c r="I31" i="15"/>
  <c r="H31" i="15"/>
  <c r="G31" i="15"/>
  <c r="F31" i="15"/>
  <c r="E31" i="15"/>
  <c r="C31" i="15"/>
  <c r="M30" i="15"/>
  <c r="L30" i="15"/>
  <c r="K30" i="15"/>
  <c r="I30" i="15"/>
  <c r="H30" i="15"/>
  <c r="G30" i="15"/>
  <c r="F30" i="15"/>
  <c r="E30" i="15"/>
  <c r="C30" i="15"/>
  <c r="M29" i="15"/>
  <c r="L29" i="15"/>
  <c r="K29" i="15"/>
  <c r="I29" i="15"/>
  <c r="H29" i="15"/>
  <c r="G29" i="15"/>
  <c r="F29" i="15"/>
  <c r="E29" i="15"/>
  <c r="C29" i="15"/>
  <c r="M28" i="15"/>
  <c r="L28" i="15"/>
  <c r="K28" i="15"/>
  <c r="I28" i="15"/>
  <c r="H28" i="15"/>
  <c r="G28" i="15"/>
  <c r="F28" i="15"/>
  <c r="E28" i="15"/>
  <c r="C28" i="15"/>
  <c r="M27" i="15"/>
  <c r="L27" i="15"/>
  <c r="K27" i="15"/>
  <c r="I27" i="15"/>
  <c r="H27" i="15"/>
  <c r="G27" i="15"/>
  <c r="F27" i="15"/>
  <c r="E27" i="15"/>
  <c r="C27" i="15"/>
  <c r="E187" i="15"/>
  <c r="H187" i="15" s="1"/>
  <c r="D187" i="15"/>
  <c r="G187" i="15" s="1"/>
  <c r="C26" i="14"/>
  <c r="P104" i="15"/>
  <c r="O106" i="15"/>
  <c r="O113" i="15"/>
  <c r="N113" i="15"/>
  <c r="F111" i="15"/>
  <c r="F110" i="15"/>
  <c r="F109" i="15"/>
  <c r="F108" i="15"/>
  <c r="F107" i="15"/>
  <c r="F106" i="15"/>
  <c r="F105" i="15"/>
  <c r="F104" i="15"/>
  <c r="F103" i="15"/>
  <c r="F102" i="15"/>
  <c r="P105" i="15"/>
  <c r="P102" i="15"/>
  <c r="P103" i="15"/>
  <c r="P106" i="15"/>
  <c r="P107" i="15"/>
  <c r="P108" i="15"/>
  <c r="P109" i="15"/>
  <c r="P110" i="15"/>
  <c r="P111" i="15"/>
  <c r="P112" i="15"/>
  <c r="P113" i="15"/>
  <c r="O102" i="15"/>
  <c r="O103" i="15"/>
  <c r="O104" i="15"/>
  <c r="O105" i="15"/>
  <c r="O107" i="15"/>
  <c r="O108" i="15"/>
  <c r="O109" i="15"/>
  <c r="O110" i="15"/>
  <c r="O111" i="15"/>
  <c r="O112" i="15"/>
  <c r="P128" i="15"/>
  <c r="O128" i="15"/>
  <c r="N117" i="15"/>
  <c r="O117" i="15"/>
  <c r="P117" i="15"/>
  <c r="N118" i="15"/>
  <c r="O118" i="15"/>
  <c r="P118" i="15"/>
  <c r="N119" i="15"/>
  <c r="O119" i="15"/>
  <c r="P119" i="15"/>
  <c r="N120" i="15"/>
  <c r="O120" i="15"/>
  <c r="P120" i="15"/>
  <c r="N121" i="15"/>
  <c r="O121" i="15"/>
  <c r="P121" i="15"/>
  <c r="N122" i="15"/>
  <c r="O122" i="15"/>
  <c r="P122" i="15"/>
  <c r="N123" i="15"/>
  <c r="O123" i="15"/>
  <c r="P123" i="15"/>
  <c r="N124" i="15"/>
  <c r="O124" i="15"/>
  <c r="P124" i="15"/>
  <c r="N125" i="15"/>
  <c r="O125" i="15"/>
  <c r="P125" i="15"/>
  <c r="N126" i="15"/>
  <c r="O126" i="15"/>
  <c r="P126" i="15"/>
  <c r="N127" i="15"/>
  <c r="O127" i="15"/>
  <c r="P127" i="15"/>
  <c r="N128" i="15"/>
  <c r="F141" i="15"/>
  <c r="F140" i="15"/>
  <c r="F139" i="15"/>
  <c r="F138" i="15"/>
  <c r="F137" i="15"/>
  <c r="F136" i="15"/>
  <c r="F135" i="15"/>
  <c r="F134" i="15"/>
  <c r="F133" i="15"/>
  <c r="F132" i="15"/>
  <c r="N143" i="15"/>
  <c r="N158" i="15"/>
  <c r="P132" i="15"/>
  <c r="P133" i="15"/>
  <c r="P134" i="15"/>
  <c r="P135" i="15"/>
  <c r="P136" i="15"/>
  <c r="P137" i="15"/>
  <c r="P138" i="15"/>
  <c r="P139" i="15"/>
  <c r="P140" i="15"/>
  <c r="P141" i="15"/>
  <c r="P142" i="15"/>
  <c r="P143" i="15"/>
  <c r="O132" i="15"/>
  <c r="O133" i="15"/>
  <c r="O134" i="15"/>
  <c r="O135" i="15"/>
  <c r="O136" i="15"/>
  <c r="O137" i="15"/>
  <c r="O138" i="15"/>
  <c r="O139" i="15"/>
  <c r="O140" i="15"/>
  <c r="O141" i="15"/>
  <c r="O142" i="15"/>
  <c r="O143" i="15"/>
  <c r="P158" i="15"/>
  <c r="O158" i="15"/>
  <c r="N112" i="15"/>
  <c r="N111" i="15"/>
  <c r="N110" i="15"/>
  <c r="N109" i="15"/>
  <c r="N108" i="15"/>
  <c r="N107" i="15"/>
  <c r="N106" i="15"/>
  <c r="N105" i="15"/>
  <c r="N104" i="15"/>
  <c r="N103" i="15"/>
  <c r="N102" i="15"/>
  <c r="E112" i="15"/>
  <c r="E113" i="15"/>
  <c r="D112" i="15"/>
  <c r="D113" i="15"/>
  <c r="F126" i="15"/>
  <c r="F125" i="15"/>
  <c r="F124" i="15"/>
  <c r="F123" i="15"/>
  <c r="F122" i="15"/>
  <c r="F121" i="15"/>
  <c r="F120" i="15"/>
  <c r="F119" i="15"/>
  <c r="F118" i="15"/>
  <c r="F117" i="15"/>
  <c r="E127" i="15"/>
  <c r="E128" i="15"/>
  <c r="H128" i="15" s="1"/>
  <c r="D128" i="15"/>
  <c r="D127" i="15"/>
  <c r="G127" i="15" s="1"/>
  <c r="N142" i="15"/>
  <c r="N141" i="15"/>
  <c r="N140" i="15"/>
  <c r="N139" i="15"/>
  <c r="N138" i="15"/>
  <c r="N137" i="15"/>
  <c r="N136" i="15"/>
  <c r="N135" i="15"/>
  <c r="N134" i="15"/>
  <c r="N133" i="15"/>
  <c r="N132" i="15"/>
  <c r="D143" i="15"/>
  <c r="G139" i="15" s="1"/>
  <c r="D142" i="15"/>
  <c r="E142" i="15"/>
  <c r="E143" i="15"/>
  <c r="H134" i="15" s="1"/>
  <c r="P147" i="15"/>
  <c r="P148" i="15"/>
  <c r="P149" i="15"/>
  <c r="P150" i="15"/>
  <c r="P151" i="15"/>
  <c r="P152" i="15"/>
  <c r="P153" i="15"/>
  <c r="P154" i="15"/>
  <c r="P155" i="15"/>
  <c r="P156" i="15"/>
  <c r="P157" i="15"/>
  <c r="O148" i="15"/>
  <c r="O149" i="15"/>
  <c r="O150" i="15"/>
  <c r="O151" i="15"/>
  <c r="O152" i="15"/>
  <c r="O153" i="15"/>
  <c r="O154" i="15"/>
  <c r="O155" i="15"/>
  <c r="O156" i="15"/>
  <c r="O157" i="15"/>
  <c r="O147" i="15"/>
  <c r="N148" i="15"/>
  <c r="N149" i="15"/>
  <c r="N150" i="15"/>
  <c r="N151" i="15"/>
  <c r="N152" i="15"/>
  <c r="N153" i="15"/>
  <c r="N154" i="15"/>
  <c r="N155" i="15"/>
  <c r="N156" i="15"/>
  <c r="N157" i="15"/>
  <c r="N147" i="15"/>
  <c r="E158" i="15"/>
  <c r="H158" i="15" s="1"/>
  <c r="D158" i="15"/>
  <c r="E157" i="15"/>
  <c r="D157" i="15"/>
  <c r="E156" i="15"/>
  <c r="D156" i="15"/>
  <c r="J36" i="15" s="1"/>
  <c r="E155" i="15"/>
  <c r="D155" i="15"/>
  <c r="J35" i="15" s="1"/>
  <c r="E154" i="15"/>
  <c r="D154" i="15"/>
  <c r="J34" i="15" s="1"/>
  <c r="E153" i="15"/>
  <c r="D153" i="15"/>
  <c r="J33" i="15" s="1"/>
  <c r="E152" i="15"/>
  <c r="D152" i="15"/>
  <c r="J32" i="15" s="1"/>
  <c r="E151" i="15"/>
  <c r="D151" i="15"/>
  <c r="J31" i="15" s="1"/>
  <c r="D150" i="15"/>
  <c r="J30" i="15" s="1"/>
  <c r="E150" i="15"/>
  <c r="D149" i="15"/>
  <c r="J29" i="15" s="1"/>
  <c r="E149" i="15"/>
  <c r="D148" i="15"/>
  <c r="J28" i="15" s="1"/>
  <c r="E148" i="15"/>
  <c r="E147" i="15"/>
  <c r="D147" i="15"/>
  <c r="E484" i="15"/>
  <c r="M15" i="14"/>
  <c r="M16" i="14"/>
  <c r="M17" i="14"/>
  <c r="M18" i="14"/>
  <c r="M19" i="14"/>
  <c r="M20" i="14"/>
  <c r="M21" i="14"/>
  <c r="M22" i="14"/>
  <c r="M23" i="14"/>
  <c r="M14" i="14"/>
  <c r="M27" i="14"/>
  <c r="M28" i="14"/>
  <c r="M29" i="14"/>
  <c r="M30" i="14"/>
  <c r="M31" i="14"/>
  <c r="M32" i="14"/>
  <c r="M33" i="14"/>
  <c r="M34" i="14"/>
  <c r="M35" i="14"/>
  <c r="M26" i="14"/>
  <c r="L15" i="14"/>
  <c r="L16" i="14"/>
  <c r="L17" i="14"/>
  <c r="L18" i="14"/>
  <c r="L19" i="14"/>
  <c r="L20" i="14"/>
  <c r="L21" i="14"/>
  <c r="L22" i="14"/>
  <c r="L23" i="14"/>
  <c r="L14" i="14"/>
  <c r="L27" i="14"/>
  <c r="L28" i="14"/>
  <c r="L29" i="14"/>
  <c r="L30" i="14"/>
  <c r="L31" i="14"/>
  <c r="L32" i="14"/>
  <c r="L33" i="14"/>
  <c r="L34" i="14"/>
  <c r="L35" i="14"/>
  <c r="L26" i="14"/>
  <c r="K15" i="14"/>
  <c r="K16" i="14"/>
  <c r="K17" i="14"/>
  <c r="K18" i="14"/>
  <c r="K19" i="14"/>
  <c r="K20" i="14"/>
  <c r="K21" i="14"/>
  <c r="K22" i="14"/>
  <c r="K23" i="14"/>
  <c r="K14" i="14"/>
  <c r="K27" i="14"/>
  <c r="K28" i="14"/>
  <c r="K29" i="14"/>
  <c r="K30" i="14"/>
  <c r="K31" i="14"/>
  <c r="K32" i="14"/>
  <c r="K33" i="14"/>
  <c r="K34" i="14"/>
  <c r="K35" i="14"/>
  <c r="K26" i="14"/>
  <c r="J15" i="14"/>
  <c r="J16" i="14"/>
  <c r="J17" i="14"/>
  <c r="J18" i="14"/>
  <c r="J19" i="14"/>
  <c r="J20" i="14"/>
  <c r="J21" i="14"/>
  <c r="J22" i="14"/>
  <c r="J23" i="14"/>
  <c r="J14" i="14"/>
  <c r="J27" i="14"/>
  <c r="J28" i="14"/>
  <c r="J29" i="14"/>
  <c r="J30" i="14"/>
  <c r="J31" i="14"/>
  <c r="J32" i="14"/>
  <c r="J33" i="14"/>
  <c r="J34" i="14"/>
  <c r="J35" i="14"/>
  <c r="J26" i="14"/>
  <c r="I15" i="14"/>
  <c r="I16" i="14"/>
  <c r="I17" i="14"/>
  <c r="I18" i="14"/>
  <c r="I19" i="14"/>
  <c r="I20" i="14"/>
  <c r="I21" i="14"/>
  <c r="I22" i="14"/>
  <c r="I23" i="14"/>
  <c r="I14" i="14"/>
  <c r="I27" i="14"/>
  <c r="I28" i="14"/>
  <c r="I29" i="14"/>
  <c r="I30" i="14"/>
  <c r="I31" i="14"/>
  <c r="I32" i="14"/>
  <c r="I33" i="14"/>
  <c r="I34" i="14"/>
  <c r="I35" i="14"/>
  <c r="I26" i="14"/>
  <c r="H15" i="14"/>
  <c r="H16" i="14"/>
  <c r="H17" i="14"/>
  <c r="H18" i="14"/>
  <c r="H19" i="14"/>
  <c r="H20" i="14"/>
  <c r="H21" i="14"/>
  <c r="H22" i="14"/>
  <c r="H23" i="14"/>
  <c r="H14" i="14"/>
  <c r="H27" i="14"/>
  <c r="H28" i="14"/>
  <c r="H29" i="14"/>
  <c r="H30" i="14"/>
  <c r="H31" i="14"/>
  <c r="H32" i="14"/>
  <c r="H33" i="14"/>
  <c r="H34" i="14"/>
  <c r="H35" i="14"/>
  <c r="H26" i="14"/>
  <c r="G15" i="14"/>
  <c r="G16" i="14"/>
  <c r="G17" i="14"/>
  <c r="G18" i="14"/>
  <c r="G19" i="14"/>
  <c r="G20" i="14"/>
  <c r="G21" i="14"/>
  <c r="G22" i="14"/>
  <c r="G23" i="14"/>
  <c r="G14" i="14"/>
  <c r="G27" i="14"/>
  <c r="G28" i="14"/>
  <c r="G29" i="14"/>
  <c r="G30" i="14"/>
  <c r="G31" i="14"/>
  <c r="G32" i="14"/>
  <c r="G33" i="14"/>
  <c r="G34" i="14"/>
  <c r="G35" i="14"/>
  <c r="G26" i="14"/>
  <c r="F15" i="14"/>
  <c r="F16" i="14"/>
  <c r="F17" i="14"/>
  <c r="F18" i="14"/>
  <c r="F19" i="14"/>
  <c r="F20" i="14"/>
  <c r="F21" i="14"/>
  <c r="F22" i="14"/>
  <c r="F23" i="14"/>
  <c r="F14" i="14"/>
  <c r="F27" i="14"/>
  <c r="F28" i="14"/>
  <c r="F29" i="14"/>
  <c r="F30" i="14"/>
  <c r="F31" i="14"/>
  <c r="F32" i="14"/>
  <c r="F33" i="14"/>
  <c r="F34" i="14"/>
  <c r="F35" i="14"/>
  <c r="F26" i="14"/>
  <c r="E15" i="14"/>
  <c r="E16" i="14"/>
  <c r="E17" i="14"/>
  <c r="E18" i="14"/>
  <c r="E19" i="14"/>
  <c r="E20" i="14"/>
  <c r="E21" i="14"/>
  <c r="E22" i="14"/>
  <c r="E23" i="14"/>
  <c r="E14" i="14"/>
  <c r="E27" i="14"/>
  <c r="E28" i="14"/>
  <c r="E29" i="14"/>
  <c r="E30" i="14"/>
  <c r="E31" i="14"/>
  <c r="E32" i="14"/>
  <c r="E33" i="14"/>
  <c r="E34" i="14"/>
  <c r="E35" i="14"/>
  <c r="E26" i="14"/>
  <c r="C15" i="14"/>
  <c r="C16" i="14"/>
  <c r="C17" i="14"/>
  <c r="C18" i="14"/>
  <c r="C19" i="14"/>
  <c r="C20" i="14"/>
  <c r="C21" i="14"/>
  <c r="C22" i="14"/>
  <c r="C23" i="14"/>
  <c r="C14" i="14"/>
  <c r="C27" i="14"/>
  <c r="C28" i="14"/>
  <c r="C29" i="14"/>
  <c r="C30" i="14"/>
  <c r="C31" i="14"/>
  <c r="C32" i="14"/>
  <c r="C33" i="14"/>
  <c r="C34" i="14"/>
  <c r="C35" i="14"/>
  <c r="H112" i="14"/>
  <c r="G112" i="14"/>
  <c r="F116" i="14"/>
  <c r="H121" i="14"/>
  <c r="G121" i="14"/>
  <c r="F121" i="14"/>
  <c r="H120" i="14"/>
  <c r="G120" i="14"/>
  <c r="F120" i="14"/>
  <c r="H119" i="14"/>
  <c r="G119" i="14"/>
  <c r="F119" i="14"/>
  <c r="H118" i="14"/>
  <c r="G118" i="14"/>
  <c r="F118" i="14"/>
  <c r="H117" i="14"/>
  <c r="G117" i="14"/>
  <c r="F117" i="14"/>
  <c r="H116" i="14"/>
  <c r="G116" i="14"/>
  <c r="H115" i="14"/>
  <c r="G115" i="14"/>
  <c r="F115" i="14"/>
  <c r="H114" i="14"/>
  <c r="G114" i="14"/>
  <c r="F114" i="14"/>
  <c r="H113" i="14"/>
  <c r="G113" i="14"/>
  <c r="F113" i="14"/>
  <c r="F112" i="14"/>
  <c r="H111" i="14"/>
  <c r="G111" i="14"/>
  <c r="F111" i="14"/>
  <c r="H110" i="14"/>
  <c r="G110" i="14"/>
  <c r="F110" i="14"/>
  <c r="P116" i="14"/>
  <c r="P110" i="14"/>
  <c r="P111" i="14"/>
  <c r="P112" i="14"/>
  <c r="P113" i="14"/>
  <c r="P114" i="14"/>
  <c r="P115" i="14"/>
  <c r="P117" i="14"/>
  <c r="P118" i="14"/>
  <c r="P119" i="14"/>
  <c r="P120" i="14"/>
  <c r="P121" i="14"/>
  <c r="O120" i="14"/>
  <c r="O111" i="14"/>
  <c r="O112" i="14"/>
  <c r="O113" i="14"/>
  <c r="O114" i="14"/>
  <c r="O115" i="14"/>
  <c r="O116" i="14"/>
  <c r="O117" i="14"/>
  <c r="O118" i="14"/>
  <c r="O119" i="14"/>
  <c r="O121" i="14"/>
  <c r="O110" i="14"/>
  <c r="N111" i="14"/>
  <c r="N112" i="14"/>
  <c r="N113" i="14"/>
  <c r="N114" i="14"/>
  <c r="N115" i="14"/>
  <c r="N116" i="14"/>
  <c r="N117" i="14"/>
  <c r="N118" i="14"/>
  <c r="N119" i="14"/>
  <c r="N120" i="14"/>
  <c r="N121" i="14"/>
  <c r="N110" i="14"/>
  <c r="O136" i="14"/>
  <c r="F125" i="14"/>
  <c r="F135" i="14"/>
  <c r="F134" i="14"/>
  <c r="F133" i="14"/>
  <c r="F132" i="14"/>
  <c r="F131" i="14"/>
  <c r="F130" i="14"/>
  <c r="F129" i="14"/>
  <c r="F128" i="14"/>
  <c r="F127" i="14"/>
  <c r="F126" i="14"/>
  <c r="P136" i="14"/>
  <c r="P126" i="14"/>
  <c r="P127" i="14"/>
  <c r="P128" i="14"/>
  <c r="P129" i="14"/>
  <c r="P130" i="14"/>
  <c r="P131" i="14"/>
  <c r="P132" i="14"/>
  <c r="P133" i="14"/>
  <c r="P134" i="14"/>
  <c r="P135" i="14"/>
  <c r="P125" i="14"/>
  <c r="O126" i="14"/>
  <c r="O127" i="14"/>
  <c r="O128" i="14"/>
  <c r="O129" i="14"/>
  <c r="O130" i="14"/>
  <c r="O131" i="14"/>
  <c r="O132" i="14"/>
  <c r="O133" i="14"/>
  <c r="O134" i="14"/>
  <c r="O135" i="14"/>
  <c r="O125" i="14"/>
  <c r="N126" i="14"/>
  <c r="N127" i="14"/>
  <c r="N128" i="14"/>
  <c r="N129" i="14"/>
  <c r="N130" i="14"/>
  <c r="N131" i="14"/>
  <c r="N132" i="14"/>
  <c r="N133" i="14"/>
  <c r="N134" i="14"/>
  <c r="N135" i="14"/>
  <c r="N136" i="14"/>
  <c r="N125" i="14"/>
  <c r="D136" i="14"/>
  <c r="G131" i="14" s="1"/>
  <c r="E136" i="14"/>
  <c r="H125" i="14" s="1"/>
  <c r="O46" i="4"/>
  <c r="N35" i="4"/>
  <c r="N34" i="4"/>
  <c r="O33" i="4"/>
  <c r="N47" i="4"/>
  <c r="N48" i="4"/>
  <c r="O20" i="4"/>
  <c r="N21" i="4"/>
  <c r="N22" i="4"/>
  <c r="M47" i="4"/>
  <c r="M48" i="4"/>
  <c r="M34" i="4"/>
  <c r="M35" i="4"/>
  <c r="M21" i="4"/>
  <c r="M22" i="4"/>
  <c r="O15" i="4"/>
  <c r="L48" i="4"/>
  <c r="K48" i="4"/>
  <c r="J48" i="4"/>
  <c r="I48" i="4"/>
  <c r="H48" i="4"/>
  <c r="G48" i="4"/>
  <c r="L47" i="4"/>
  <c r="K47" i="4"/>
  <c r="J47" i="4"/>
  <c r="I47" i="4"/>
  <c r="H47" i="4"/>
  <c r="G47" i="4"/>
  <c r="O45" i="4"/>
  <c r="O44" i="4"/>
  <c r="O43" i="4"/>
  <c r="O42" i="4"/>
  <c r="O41" i="4"/>
  <c r="L35" i="4"/>
  <c r="K35" i="4"/>
  <c r="J35" i="4"/>
  <c r="I35" i="4"/>
  <c r="H35" i="4"/>
  <c r="G35" i="4"/>
  <c r="L34" i="4"/>
  <c r="K34" i="4"/>
  <c r="J34" i="4"/>
  <c r="I34" i="4"/>
  <c r="H34" i="4"/>
  <c r="G34" i="4"/>
  <c r="O32" i="4"/>
  <c r="O31" i="4"/>
  <c r="O30" i="4"/>
  <c r="O29" i="4"/>
  <c r="O28" i="4"/>
  <c r="L22" i="4"/>
  <c r="K22" i="4"/>
  <c r="J22" i="4"/>
  <c r="I22" i="4"/>
  <c r="H22" i="4"/>
  <c r="G22" i="4"/>
  <c r="F22" i="4"/>
  <c r="E22" i="4"/>
  <c r="D22" i="4"/>
  <c r="L21" i="4"/>
  <c r="K21" i="4"/>
  <c r="J21" i="4"/>
  <c r="I21" i="4"/>
  <c r="H21" i="4"/>
  <c r="G21" i="4"/>
  <c r="F21" i="4"/>
  <c r="E21" i="4"/>
  <c r="D21" i="4"/>
  <c r="C21" i="4"/>
  <c r="O19" i="4"/>
  <c r="O18" i="4"/>
  <c r="O17" i="4"/>
  <c r="O16" i="4"/>
  <c r="I17" i="17"/>
  <c r="I14" i="17"/>
  <c r="D17" i="17"/>
  <c r="E17" i="17"/>
  <c r="F17" i="17"/>
  <c r="G17" i="17"/>
  <c r="H17" i="17"/>
  <c r="C17" i="17"/>
  <c r="E14" i="17"/>
  <c r="F14" i="17"/>
  <c r="G14" i="17"/>
  <c r="H14" i="17"/>
  <c r="D14" i="17"/>
  <c r="E9" i="17"/>
  <c r="F9" i="17"/>
  <c r="G9" i="17"/>
  <c r="H9" i="17"/>
  <c r="D9" i="17"/>
  <c r="E4" i="17"/>
  <c r="F4" i="17"/>
  <c r="G4" i="17"/>
  <c r="H4" i="17"/>
  <c r="D4" i="17"/>
  <c r="G118" i="15" l="1"/>
  <c r="G124" i="15"/>
  <c r="H149" i="15"/>
  <c r="H150" i="15"/>
  <c r="J24" i="15"/>
  <c r="J19" i="15"/>
  <c r="G142" i="15"/>
  <c r="H147" i="15"/>
  <c r="H155" i="15"/>
  <c r="G104" i="15"/>
  <c r="H104" i="15"/>
  <c r="G117" i="15"/>
  <c r="H136" i="15"/>
  <c r="G119" i="15"/>
  <c r="H139" i="15"/>
  <c r="G128" i="15"/>
  <c r="F148" i="15"/>
  <c r="G120" i="15"/>
  <c r="H143" i="15"/>
  <c r="H141" i="15"/>
  <c r="G122" i="15"/>
  <c r="G150" i="15"/>
  <c r="H132" i="15"/>
  <c r="H122" i="15"/>
  <c r="H127" i="15"/>
  <c r="H156" i="15"/>
  <c r="F153" i="15"/>
  <c r="G125" i="15"/>
  <c r="H118" i="15"/>
  <c r="H152" i="15"/>
  <c r="F151" i="15"/>
  <c r="G153" i="15"/>
  <c r="H153" i="15"/>
  <c r="G156" i="15"/>
  <c r="J16" i="15"/>
  <c r="H154" i="15"/>
  <c r="G123" i="15"/>
  <c r="G138" i="15"/>
  <c r="G110" i="15"/>
  <c r="G147" i="15"/>
  <c r="G155" i="15"/>
  <c r="H142" i="15"/>
  <c r="F128" i="15"/>
  <c r="H138" i="15"/>
  <c r="H110" i="15"/>
  <c r="J21" i="15"/>
  <c r="J23" i="15"/>
  <c r="G148" i="15"/>
  <c r="F156" i="15"/>
  <c r="J15" i="15"/>
  <c r="J18" i="15"/>
  <c r="G140" i="15"/>
  <c r="G149" i="15"/>
  <c r="H157" i="15"/>
  <c r="G126" i="15"/>
  <c r="H133" i="15"/>
  <c r="H140" i="15"/>
  <c r="J27" i="15"/>
  <c r="G134" i="15"/>
  <c r="J22" i="15"/>
  <c r="G112" i="15"/>
  <c r="J17" i="15"/>
  <c r="F143" i="15"/>
  <c r="G105" i="15"/>
  <c r="F187" i="15"/>
  <c r="J20" i="15"/>
  <c r="H151" i="15"/>
  <c r="H148" i="15"/>
  <c r="G135" i="15"/>
  <c r="H112" i="15"/>
  <c r="H135" i="15"/>
  <c r="H136" i="14"/>
  <c r="G151" i="15"/>
  <c r="F157" i="15"/>
  <c r="H124" i="15"/>
  <c r="H105" i="15"/>
  <c r="F152" i="15"/>
  <c r="G157" i="15"/>
  <c r="H119" i="15"/>
  <c r="G141" i="15"/>
  <c r="G111" i="15"/>
  <c r="F147" i="15"/>
  <c r="G152" i="15"/>
  <c r="G136" i="15"/>
  <c r="G106" i="15"/>
  <c r="H111" i="15"/>
  <c r="F158" i="15"/>
  <c r="H125" i="15"/>
  <c r="F142" i="15"/>
  <c r="H106" i="15"/>
  <c r="F112" i="15"/>
  <c r="G158" i="15"/>
  <c r="H120" i="15"/>
  <c r="G137" i="15"/>
  <c r="G107" i="15"/>
  <c r="G121" i="15"/>
  <c r="H126" i="15"/>
  <c r="G132" i="15"/>
  <c r="H137" i="15"/>
  <c r="G143" i="15"/>
  <c r="G102" i="15"/>
  <c r="H107" i="15"/>
  <c r="F113" i="15"/>
  <c r="F154" i="15"/>
  <c r="H121" i="15"/>
  <c r="F127" i="15"/>
  <c r="H102" i="15"/>
  <c r="G113" i="15"/>
  <c r="H127" i="14"/>
  <c r="F149" i="15"/>
  <c r="G154" i="15"/>
  <c r="G108" i="15"/>
  <c r="H113" i="15"/>
  <c r="G133" i="15"/>
  <c r="G103" i="15"/>
  <c r="H108" i="15"/>
  <c r="F155" i="15"/>
  <c r="H103" i="15"/>
  <c r="G127" i="14"/>
  <c r="G126" i="14"/>
  <c r="F150" i="15"/>
  <c r="H117" i="15"/>
  <c r="G109" i="15"/>
  <c r="G125" i="14"/>
  <c r="H109" i="15"/>
  <c r="H135" i="14"/>
  <c r="H123" i="15"/>
  <c r="G130" i="14"/>
  <c r="G129" i="14"/>
  <c r="G128" i="14"/>
  <c r="F136" i="14"/>
  <c r="H134" i="14"/>
  <c r="H132" i="14"/>
  <c r="H131" i="14"/>
  <c r="G134" i="14"/>
  <c r="H130" i="14"/>
  <c r="G133" i="14"/>
  <c r="H129" i="14"/>
  <c r="H133" i="14"/>
  <c r="G135" i="14"/>
  <c r="H128" i="14"/>
  <c r="G132" i="14"/>
  <c r="H126" i="14"/>
  <c r="G136" i="14"/>
  <c r="O34" i="4"/>
  <c r="O21" i="4"/>
  <c r="O47" i="4"/>
  <c r="L49" i="12" l="1"/>
  <c r="K49" i="12"/>
  <c r="J49" i="12"/>
  <c r="I49" i="12"/>
  <c r="H49" i="12"/>
  <c r="G49" i="12"/>
  <c r="F49" i="12"/>
  <c r="L48" i="12"/>
  <c r="K48" i="12"/>
  <c r="J48" i="12"/>
  <c r="I48" i="12"/>
  <c r="H48" i="12"/>
  <c r="G48" i="12"/>
  <c r="F48" i="12"/>
  <c r="L35" i="12"/>
  <c r="K35" i="12"/>
  <c r="J35" i="12"/>
  <c r="H35" i="12"/>
  <c r="G35" i="12"/>
  <c r="F35" i="12"/>
  <c r="L34" i="12"/>
  <c r="K34" i="12"/>
  <c r="J34" i="12"/>
  <c r="I34" i="12"/>
  <c r="H34" i="12"/>
  <c r="G34" i="12"/>
  <c r="F34" i="12"/>
  <c r="L21" i="12"/>
  <c r="K21" i="12"/>
  <c r="J21" i="12"/>
  <c r="I21" i="12"/>
  <c r="H21" i="12"/>
  <c r="G21" i="12"/>
  <c r="L20" i="12"/>
  <c r="K20" i="12"/>
  <c r="J20" i="12"/>
  <c r="I20" i="12"/>
  <c r="H20" i="12"/>
  <c r="G20" i="12"/>
  <c r="C9" i="12"/>
  <c r="E1435" i="16"/>
  <c r="E1434" i="16"/>
  <c r="E1433" i="16"/>
  <c r="E1432" i="16"/>
  <c r="E1431" i="16"/>
  <c r="E1430" i="16"/>
  <c r="E1429" i="16"/>
  <c r="E1428" i="16"/>
  <c r="E1427" i="16"/>
  <c r="E1426" i="16"/>
  <c r="E1421" i="16"/>
  <c r="E1420" i="16"/>
  <c r="E1419" i="16"/>
  <c r="E1418" i="16"/>
  <c r="E1417" i="16"/>
  <c r="E1416" i="16"/>
  <c r="E1415" i="16"/>
  <c r="E1414" i="16"/>
  <c r="E1413" i="16"/>
  <c r="E1412" i="16"/>
  <c r="M1407" i="16"/>
  <c r="E1407" i="16"/>
  <c r="M1406" i="16"/>
  <c r="E1406" i="16"/>
  <c r="M1405" i="16"/>
  <c r="E1405" i="16"/>
  <c r="M1404" i="16"/>
  <c r="E1404" i="16"/>
  <c r="M1403" i="16"/>
  <c r="E1403" i="16"/>
  <c r="M1402" i="16"/>
  <c r="E1402" i="16"/>
  <c r="M1401" i="16"/>
  <c r="E1401" i="16"/>
  <c r="M1400" i="16"/>
  <c r="E1400" i="16"/>
  <c r="M1399" i="16"/>
  <c r="E1399" i="16"/>
  <c r="M1398" i="16"/>
  <c r="E1398" i="16"/>
  <c r="M1393" i="16"/>
  <c r="E1393" i="16"/>
  <c r="M1392" i="16"/>
  <c r="E1392" i="16"/>
  <c r="M1391" i="16"/>
  <c r="E1391" i="16"/>
  <c r="M1390" i="16"/>
  <c r="E1390" i="16"/>
  <c r="M1389" i="16"/>
  <c r="E1389" i="16"/>
  <c r="M1388" i="16"/>
  <c r="E1388" i="16"/>
  <c r="M1387" i="16"/>
  <c r="E1387" i="16"/>
  <c r="M1386" i="16"/>
  <c r="E1386" i="16"/>
  <c r="M1385" i="16"/>
  <c r="E1385" i="16"/>
  <c r="M1384" i="16"/>
  <c r="E1384" i="16"/>
  <c r="M1379" i="16"/>
  <c r="E1379" i="16"/>
  <c r="M1378" i="16"/>
  <c r="E1378" i="16"/>
  <c r="M1377" i="16"/>
  <c r="E1377" i="16"/>
  <c r="M1376" i="16"/>
  <c r="E1376" i="16"/>
  <c r="M1375" i="16"/>
  <c r="E1375" i="16"/>
  <c r="M1374" i="16"/>
  <c r="E1374" i="16"/>
  <c r="M1373" i="16"/>
  <c r="E1373" i="16"/>
  <c r="M1372" i="16"/>
  <c r="E1372" i="16"/>
  <c r="M1371" i="16"/>
  <c r="E1371" i="16"/>
  <c r="M1370" i="16"/>
  <c r="E1370" i="16"/>
  <c r="M1365" i="16"/>
  <c r="E1365" i="16"/>
  <c r="M1364" i="16"/>
  <c r="E1364" i="16"/>
  <c r="M1363" i="16"/>
  <c r="E1363" i="16"/>
  <c r="M1362" i="16"/>
  <c r="E1362" i="16"/>
  <c r="M1361" i="16"/>
  <c r="E1361" i="16"/>
  <c r="M1360" i="16"/>
  <c r="E1360" i="16"/>
  <c r="M1359" i="16"/>
  <c r="E1359" i="16"/>
  <c r="M1358" i="16"/>
  <c r="E1358" i="16"/>
  <c r="M1357" i="16"/>
  <c r="E1357" i="16"/>
  <c r="M1356" i="16"/>
  <c r="E1356" i="16"/>
  <c r="M1351" i="16"/>
  <c r="E1351" i="16"/>
  <c r="M1350" i="16"/>
  <c r="E1350" i="16"/>
  <c r="M1349" i="16"/>
  <c r="E1349" i="16"/>
  <c r="M1348" i="16"/>
  <c r="E1348" i="16"/>
  <c r="M1347" i="16"/>
  <c r="E1347" i="16"/>
  <c r="M1346" i="16"/>
  <c r="E1346" i="16"/>
  <c r="M1345" i="16"/>
  <c r="E1345" i="16"/>
  <c r="M1344" i="16"/>
  <c r="E1344" i="16"/>
  <c r="M1343" i="16"/>
  <c r="E1343" i="16"/>
  <c r="M1342" i="16"/>
  <c r="E1342" i="16"/>
  <c r="M1337" i="16"/>
  <c r="E1337" i="16"/>
  <c r="M1336" i="16"/>
  <c r="E1336" i="16"/>
  <c r="M1335" i="16"/>
  <c r="E1335" i="16"/>
  <c r="M1334" i="16"/>
  <c r="E1334" i="16"/>
  <c r="M1333" i="16"/>
  <c r="E1333" i="16"/>
  <c r="M1332" i="16"/>
  <c r="E1332" i="16"/>
  <c r="M1331" i="16"/>
  <c r="E1331" i="16"/>
  <c r="M1330" i="16"/>
  <c r="E1330" i="16"/>
  <c r="M1329" i="16"/>
  <c r="E1329" i="16"/>
  <c r="M1328" i="16"/>
  <c r="E1328" i="16"/>
  <c r="M1323" i="16"/>
  <c r="E1323" i="16"/>
  <c r="M1322" i="16"/>
  <c r="E1322" i="16"/>
  <c r="M1321" i="16"/>
  <c r="E1321" i="16"/>
  <c r="M1320" i="16"/>
  <c r="E1320" i="16"/>
  <c r="M1319" i="16"/>
  <c r="E1319" i="16"/>
  <c r="M1318" i="16"/>
  <c r="E1318" i="16"/>
  <c r="M1317" i="16"/>
  <c r="E1317" i="16"/>
  <c r="M1316" i="16"/>
  <c r="E1316" i="16"/>
  <c r="M1315" i="16"/>
  <c r="E1315" i="16"/>
  <c r="M1314" i="16"/>
  <c r="E1314" i="16"/>
  <c r="M1309" i="16"/>
  <c r="E1309" i="16"/>
  <c r="M1308" i="16"/>
  <c r="E1308" i="16"/>
  <c r="M1307" i="16"/>
  <c r="E1307" i="16"/>
  <c r="M1306" i="16"/>
  <c r="E1306" i="16"/>
  <c r="M1305" i="16"/>
  <c r="E1305" i="16"/>
  <c r="M1304" i="16"/>
  <c r="E1304" i="16"/>
  <c r="M1303" i="16"/>
  <c r="E1303" i="16"/>
  <c r="M1302" i="16"/>
  <c r="E1302" i="16"/>
  <c r="M1301" i="16"/>
  <c r="E1301" i="16"/>
  <c r="M1300" i="16"/>
  <c r="E1300" i="16"/>
  <c r="M1295" i="16"/>
  <c r="E1295" i="16"/>
  <c r="M1294" i="16"/>
  <c r="E1294" i="16"/>
  <c r="M1293" i="16"/>
  <c r="E1293" i="16"/>
  <c r="M1292" i="16"/>
  <c r="E1292" i="16"/>
  <c r="M1291" i="16"/>
  <c r="E1291" i="16"/>
  <c r="M1290" i="16"/>
  <c r="E1290" i="16"/>
  <c r="M1289" i="16"/>
  <c r="E1289" i="16"/>
  <c r="M1288" i="16"/>
  <c r="E1288" i="16"/>
  <c r="M1287" i="16"/>
  <c r="E1287" i="16"/>
  <c r="M1286" i="16"/>
  <c r="E1286" i="16"/>
  <c r="M1281" i="16"/>
  <c r="E1281" i="16"/>
  <c r="M1280" i="16"/>
  <c r="E1280" i="16"/>
  <c r="M1279" i="16"/>
  <c r="E1279" i="16"/>
  <c r="M1278" i="16"/>
  <c r="E1278" i="16"/>
  <c r="M1277" i="16"/>
  <c r="E1277" i="16"/>
  <c r="M1276" i="16"/>
  <c r="E1276" i="16"/>
  <c r="M1275" i="16"/>
  <c r="E1275" i="16"/>
  <c r="M1274" i="16"/>
  <c r="E1274" i="16"/>
  <c r="M1273" i="16"/>
  <c r="E1273" i="16"/>
  <c r="M1272" i="16"/>
  <c r="E1272" i="16"/>
  <c r="E1267" i="16"/>
  <c r="E1266" i="16"/>
  <c r="E1265" i="16"/>
  <c r="E1264" i="16"/>
  <c r="E1263" i="16"/>
  <c r="E1262" i="16"/>
  <c r="E1261" i="16"/>
  <c r="E1260" i="16"/>
  <c r="E1259" i="16"/>
  <c r="E1258" i="16"/>
  <c r="M1253" i="16"/>
  <c r="E1253" i="16"/>
  <c r="M1252" i="16"/>
  <c r="E1252" i="16"/>
  <c r="M1251" i="16"/>
  <c r="E1251" i="16"/>
  <c r="M1250" i="16"/>
  <c r="E1250" i="16"/>
  <c r="M1249" i="16"/>
  <c r="E1249" i="16"/>
  <c r="M1248" i="16"/>
  <c r="E1248" i="16"/>
  <c r="M1247" i="16"/>
  <c r="E1247" i="16"/>
  <c r="M1246" i="16"/>
  <c r="E1246" i="16"/>
  <c r="M1245" i="16"/>
  <c r="E1245" i="16"/>
  <c r="M1244" i="16"/>
  <c r="E1244" i="16"/>
  <c r="M1239" i="16"/>
  <c r="E1239" i="16"/>
  <c r="M1238" i="16"/>
  <c r="E1238" i="16"/>
  <c r="M1237" i="16"/>
  <c r="E1237" i="16"/>
  <c r="M1236" i="16"/>
  <c r="E1236" i="16"/>
  <c r="M1235" i="16"/>
  <c r="E1235" i="16"/>
  <c r="M1234" i="16"/>
  <c r="E1234" i="16"/>
  <c r="M1233" i="16"/>
  <c r="E1233" i="16"/>
  <c r="M1232" i="16"/>
  <c r="E1232" i="16"/>
  <c r="M1231" i="16"/>
  <c r="E1231" i="16"/>
  <c r="M1230" i="16"/>
  <c r="E1230" i="16"/>
  <c r="M1224" i="16"/>
  <c r="E1224" i="16"/>
  <c r="M1223" i="16"/>
  <c r="E1223" i="16"/>
  <c r="M1222" i="16"/>
  <c r="E1222" i="16"/>
  <c r="M1221" i="16"/>
  <c r="E1221" i="16"/>
  <c r="M1220" i="16"/>
  <c r="E1220" i="16"/>
  <c r="M1219" i="16"/>
  <c r="E1219" i="16"/>
  <c r="M1218" i="16"/>
  <c r="E1218" i="16"/>
  <c r="M1217" i="16"/>
  <c r="E1217" i="16"/>
  <c r="M1216" i="16"/>
  <c r="E1216" i="16"/>
  <c r="M1215" i="16"/>
  <c r="E1215" i="16"/>
  <c r="M1210" i="16"/>
  <c r="E1210" i="16"/>
  <c r="M1209" i="16"/>
  <c r="E1209" i="16"/>
  <c r="M1208" i="16"/>
  <c r="E1208" i="16"/>
  <c r="M1207" i="16"/>
  <c r="E1207" i="16"/>
  <c r="M1206" i="16"/>
  <c r="E1206" i="16"/>
  <c r="M1205" i="16"/>
  <c r="E1205" i="16"/>
  <c r="M1204" i="16"/>
  <c r="E1204" i="16"/>
  <c r="M1203" i="16"/>
  <c r="E1203" i="16"/>
  <c r="M1202" i="16"/>
  <c r="E1202" i="16"/>
  <c r="M1201" i="16"/>
  <c r="E1201" i="16"/>
  <c r="M1196" i="16"/>
  <c r="E1196" i="16"/>
  <c r="M1195" i="16"/>
  <c r="E1195" i="16"/>
  <c r="M1194" i="16"/>
  <c r="E1194" i="16"/>
  <c r="M1193" i="16"/>
  <c r="E1193" i="16"/>
  <c r="M1192" i="16"/>
  <c r="E1192" i="16"/>
  <c r="M1191" i="16"/>
  <c r="E1191" i="16"/>
  <c r="M1190" i="16"/>
  <c r="E1190" i="16"/>
  <c r="M1189" i="16"/>
  <c r="E1189" i="16"/>
  <c r="M1188" i="16"/>
  <c r="E1188" i="16"/>
  <c r="M1187" i="16"/>
  <c r="E1187" i="16"/>
  <c r="M1182" i="16"/>
  <c r="E1182" i="16"/>
  <c r="M1181" i="16"/>
  <c r="E1181" i="16"/>
  <c r="M1180" i="16"/>
  <c r="E1180" i="16"/>
  <c r="M1179" i="16"/>
  <c r="E1179" i="16"/>
  <c r="M1178" i="16"/>
  <c r="E1178" i="16"/>
  <c r="M1177" i="16"/>
  <c r="E1177" i="16"/>
  <c r="M1176" i="16"/>
  <c r="E1176" i="16"/>
  <c r="M1175" i="16"/>
  <c r="E1175" i="16"/>
  <c r="M1174" i="16"/>
  <c r="E1174" i="16"/>
  <c r="M1173" i="16"/>
  <c r="E1173" i="16"/>
  <c r="M1172" i="16"/>
  <c r="E1172" i="16"/>
  <c r="M1171" i="16"/>
  <c r="E1171" i="16"/>
  <c r="M1170" i="16"/>
  <c r="E1170" i="16"/>
  <c r="M1169" i="16"/>
  <c r="E1169" i="16"/>
  <c r="M1168" i="16"/>
  <c r="E1168" i="16"/>
  <c r="M1163" i="16"/>
  <c r="E1163" i="16"/>
  <c r="M1162" i="16"/>
  <c r="E1162" i="16"/>
  <c r="M1161" i="16"/>
  <c r="E1161" i="16"/>
  <c r="M1160" i="16"/>
  <c r="E1160" i="16"/>
  <c r="M1159" i="16"/>
  <c r="E1159" i="16"/>
  <c r="M1158" i="16"/>
  <c r="E1158" i="16"/>
  <c r="M1157" i="16"/>
  <c r="E1157" i="16"/>
  <c r="M1156" i="16"/>
  <c r="E1156" i="16"/>
  <c r="M1155" i="16"/>
  <c r="E1155" i="16"/>
  <c r="M1154" i="16"/>
  <c r="E1154" i="16"/>
  <c r="M1149" i="16"/>
  <c r="E1149" i="16"/>
  <c r="M1148" i="16"/>
  <c r="E1148" i="16"/>
  <c r="M1147" i="16"/>
  <c r="E1147" i="16"/>
  <c r="M1146" i="16"/>
  <c r="E1146" i="16"/>
  <c r="M1145" i="16"/>
  <c r="E1145" i="16"/>
  <c r="M1144" i="16"/>
  <c r="E1144" i="16"/>
  <c r="M1143" i="16"/>
  <c r="E1143" i="16"/>
  <c r="M1142" i="16"/>
  <c r="E1142" i="16"/>
  <c r="M1141" i="16"/>
  <c r="E1141" i="16"/>
  <c r="M1140" i="16"/>
  <c r="E1140" i="16"/>
  <c r="M1136" i="16"/>
  <c r="E1136" i="16"/>
  <c r="M1135" i="16"/>
  <c r="E1135" i="16"/>
  <c r="M1134" i="16"/>
  <c r="E1134" i="16"/>
  <c r="M1133" i="16"/>
  <c r="E1133" i="16"/>
  <c r="M1132" i="16"/>
  <c r="E1132" i="16"/>
  <c r="M1131" i="16"/>
  <c r="E1131" i="16"/>
  <c r="M1130" i="16"/>
  <c r="E1130" i="16"/>
  <c r="M1129" i="16"/>
  <c r="E1129" i="16"/>
  <c r="M1128" i="16"/>
  <c r="M1127" i="16"/>
  <c r="M1123" i="16"/>
  <c r="E1123" i="16"/>
  <c r="M1122" i="16"/>
  <c r="E1122" i="16"/>
  <c r="M1121" i="16"/>
  <c r="E1121" i="16"/>
  <c r="M1120" i="16"/>
  <c r="E1120" i="16"/>
  <c r="M1119" i="16"/>
  <c r="E1119" i="16"/>
  <c r="M1118" i="16"/>
  <c r="E1118" i="16"/>
  <c r="M1117" i="16"/>
  <c r="E1117" i="16"/>
  <c r="M1116" i="16"/>
  <c r="E1116" i="16"/>
  <c r="M1115" i="16"/>
  <c r="M1114" i="16"/>
  <c r="D963" i="16"/>
  <c r="W819" i="16"/>
  <c r="R819" i="16"/>
  <c r="L819" i="16"/>
  <c r="E819" i="16"/>
  <c r="V818" i="16"/>
  <c r="W818" i="16" s="1"/>
  <c r="Q818" i="16"/>
  <c r="R818" i="16" s="1"/>
  <c r="K818" i="16"/>
  <c r="L818" i="16" s="1"/>
  <c r="D818" i="16"/>
  <c r="E818" i="16" s="1"/>
  <c r="M817" i="16"/>
  <c r="F817" i="16"/>
  <c r="M816" i="16"/>
  <c r="G816" i="16"/>
  <c r="M815" i="16"/>
  <c r="M814" i="16"/>
  <c r="M813" i="16"/>
  <c r="G813" i="16"/>
  <c r="F813" i="16"/>
  <c r="G797" i="16"/>
  <c r="E797" i="16"/>
  <c r="V796" i="16"/>
  <c r="W796" i="16" s="1"/>
  <c r="Q796" i="16"/>
  <c r="R796" i="16" s="1"/>
  <c r="K796" i="16"/>
  <c r="L796" i="16" s="1"/>
  <c r="D796" i="16"/>
  <c r="E796" i="16" s="1"/>
  <c r="M795" i="16"/>
  <c r="F795" i="16"/>
  <c r="M794" i="16"/>
  <c r="G794" i="16"/>
  <c r="F794" i="16"/>
  <c r="M793" i="16"/>
  <c r="M792" i="16"/>
  <c r="G792" i="16"/>
  <c r="F792" i="16"/>
  <c r="M791" i="16"/>
  <c r="M790" i="16"/>
  <c r="G790" i="16"/>
  <c r="F790" i="16"/>
  <c r="M789" i="16"/>
  <c r="G789" i="16"/>
  <c r="F789" i="16"/>
  <c r="M788" i="16"/>
  <c r="G788" i="16"/>
  <c r="F788" i="16"/>
  <c r="M787" i="16"/>
  <c r="G787" i="16"/>
  <c r="F787" i="16"/>
  <c r="M786" i="16"/>
  <c r="G786" i="16"/>
  <c r="F786" i="16"/>
  <c r="M785" i="16"/>
  <c r="G785" i="16"/>
  <c r="F785" i="16"/>
  <c r="M784" i="16"/>
  <c r="G784" i="16"/>
  <c r="F784" i="16"/>
  <c r="M783" i="16"/>
  <c r="G783" i="16"/>
  <c r="F783" i="16"/>
  <c r="M782" i="16"/>
  <c r="G782" i="16"/>
  <c r="F782" i="16"/>
  <c r="M781" i="16"/>
  <c r="G781" i="16"/>
  <c r="F781" i="16"/>
  <c r="G775" i="16"/>
  <c r="E775" i="16"/>
  <c r="E774" i="16" s="1"/>
  <c r="W774" i="16"/>
  <c r="V774" i="16"/>
  <c r="R774" i="16"/>
  <c r="Q774" i="16"/>
  <c r="L774" i="16"/>
  <c r="K774" i="16"/>
  <c r="D774" i="16"/>
  <c r="M772" i="16"/>
  <c r="M771" i="16"/>
  <c r="G771" i="16"/>
  <c r="F771" i="16"/>
  <c r="M770" i="16"/>
  <c r="G770" i="16"/>
  <c r="F770" i="16"/>
  <c r="M769" i="16"/>
  <c r="G769" i="16"/>
  <c r="F769" i="16"/>
  <c r="M768" i="16"/>
  <c r="G768" i="16"/>
  <c r="F768" i="16"/>
  <c r="M767" i="16"/>
  <c r="G767" i="16"/>
  <c r="F767" i="16"/>
  <c r="M766" i="16"/>
  <c r="G766" i="16"/>
  <c r="F766" i="16"/>
  <c r="M765" i="16"/>
  <c r="G765" i="16"/>
  <c r="F765" i="16"/>
  <c r="M764" i="16"/>
  <c r="G764" i="16"/>
  <c r="F764" i="16"/>
  <c r="M763" i="16"/>
  <c r="G763" i="16"/>
  <c r="F763" i="16"/>
  <c r="M762" i="16"/>
  <c r="G762" i="16"/>
  <c r="F762" i="16"/>
  <c r="M761" i="16"/>
  <c r="G761" i="16"/>
  <c r="F761" i="16"/>
  <c r="M760" i="16"/>
  <c r="G760" i="16"/>
  <c r="F760" i="16"/>
  <c r="M759" i="16"/>
  <c r="G759" i="16"/>
  <c r="F759" i="16"/>
  <c r="G753" i="16"/>
  <c r="E753" i="16"/>
  <c r="E752" i="16" s="1"/>
  <c r="W752" i="16"/>
  <c r="V752" i="16"/>
  <c r="R752" i="16"/>
  <c r="Q752" i="16"/>
  <c r="L752" i="16"/>
  <c r="K752" i="16"/>
  <c r="G752" i="16"/>
  <c r="D752" i="16"/>
  <c r="G751" i="16"/>
  <c r="M750" i="16"/>
  <c r="G750" i="16"/>
  <c r="M749" i="16"/>
  <c r="G749" i="16"/>
  <c r="F749" i="16"/>
  <c r="M748" i="16"/>
  <c r="G748" i="16"/>
  <c r="F748" i="16"/>
  <c r="M747" i="16"/>
  <c r="G747" i="16"/>
  <c r="F747" i="16"/>
  <c r="E731" i="16"/>
  <c r="E730" i="16" s="1"/>
  <c r="W730" i="16"/>
  <c r="V730" i="16"/>
  <c r="R730" i="16"/>
  <c r="Q730" i="16"/>
  <c r="L730" i="16"/>
  <c r="K730" i="16"/>
  <c r="D730" i="16"/>
  <c r="G709" i="16"/>
  <c r="E709" i="16"/>
  <c r="E708" i="16" s="1"/>
  <c r="W708" i="16"/>
  <c r="V708" i="16"/>
  <c r="R708" i="16"/>
  <c r="Q708" i="16"/>
  <c r="L708" i="16"/>
  <c r="K708" i="16"/>
  <c r="D708" i="16"/>
  <c r="G707" i="16"/>
  <c r="M706" i="16"/>
  <c r="G706" i="16"/>
  <c r="M705" i="16"/>
  <c r="G705" i="16"/>
  <c r="F705" i="16"/>
  <c r="M704" i="16"/>
  <c r="G704" i="16"/>
  <c r="F704" i="16"/>
  <c r="M703" i="16"/>
  <c r="G703" i="16"/>
  <c r="F703" i="16"/>
  <c r="M702" i="16"/>
  <c r="G702" i="16"/>
  <c r="F702" i="16"/>
  <c r="M701" i="16"/>
  <c r="G701" i="16"/>
  <c r="F701" i="16"/>
  <c r="M700" i="16"/>
  <c r="G700" i="16"/>
  <c r="F700" i="16"/>
  <c r="M699" i="16"/>
  <c r="G699" i="16"/>
  <c r="F699" i="16"/>
  <c r="M698" i="16"/>
  <c r="G698" i="16"/>
  <c r="F698" i="16"/>
  <c r="M697" i="16"/>
  <c r="G697" i="16"/>
  <c r="F697" i="16"/>
  <c r="M696" i="16"/>
  <c r="G696" i="16"/>
  <c r="F696" i="16"/>
  <c r="M695" i="16"/>
  <c r="G695" i="16"/>
  <c r="F695" i="16"/>
  <c r="M694" i="16"/>
  <c r="G694" i="16"/>
  <c r="F694" i="16"/>
  <c r="M693" i="16"/>
  <c r="G693" i="16"/>
  <c r="F693" i="16"/>
  <c r="G687" i="16"/>
  <c r="E687" i="16"/>
  <c r="W686" i="16"/>
  <c r="V686" i="16"/>
  <c r="R686" i="16"/>
  <c r="Q686" i="16"/>
  <c r="L686" i="16"/>
  <c r="K686" i="16"/>
  <c r="D686" i="16"/>
  <c r="F685" i="16"/>
  <c r="M684" i="16"/>
  <c r="M683" i="16"/>
  <c r="G683" i="16"/>
  <c r="M682" i="16"/>
  <c r="G682" i="16"/>
  <c r="F682" i="16"/>
  <c r="M681" i="16"/>
  <c r="G681" i="16"/>
  <c r="F681" i="16"/>
  <c r="M680" i="16"/>
  <c r="G680" i="16"/>
  <c r="F680" i="16"/>
  <c r="M679" i="16"/>
  <c r="G679" i="16"/>
  <c r="F679" i="16"/>
  <c r="M678" i="16"/>
  <c r="G678" i="16"/>
  <c r="F678" i="16"/>
  <c r="M677" i="16"/>
  <c r="G677" i="16"/>
  <c r="F677" i="16"/>
  <c r="M676" i="16"/>
  <c r="G676" i="16"/>
  <c r="F676" i="16"/>
  <c r="M675" i="16"/>
  <c r="G675" i="16"/>
  <c r="F675" i="16"/>
  <c r="M674" i="16"/>
  <c r="G674" i="16"/>
  <c r="F674" i="16"/>
  <c r="M673" i="16"/>
  <c r="G673" i="16"/>
  <c r="F673" i="16"/>
  <c r="M672" i="16"/>
  <c r="G672" i="16"/>
  <c r="F672" i="16"/>
  <c r="M671" i="16"/>
  <c r="G671" i="16"/>
  <c r="F671" i="16"/>
  <c r="G665" i="16"/>
  <c r="E665" i="16"/>
  <c r="W664" i="16"/>
  <c r="V664" i="16"/>
  <c r="R664" i="16"/>
  <c r="Q664" i="16"/>
  <c r="L664" i="16"/>
  <c r="K664" i="16"/>
  <c r="D664" i="16"/>
  <c r="M662" i="16"/>
  <c r="G662" i="16"/>
  <c r="F662" i="16"/>
  <c r="M661" i="16"/>
  <c r="M660" i="16"/>
  <c r="G660" i="16"/>
  <c r="F660" i="16"/>
  <c r="M659" i="16"/>
  <c r="G659" i="16"/>
  <c r="F659" i="16"/>
  <c r="M658" i="16"/>
  <c r="G658" i="16"/>
  <c r="F658" i="16"/>
  <c r="M657" i="16"/>
  <c r="G657" i="16"/>
  <c r="M656" i="16"/>
  <c r="G656" i="16"/>
  <c r="F656" i="16"/>
  <c r="M655" i="16"/>
  <c r="G655" i="16"/>
  <c r="F655" i="16"/>
  <c r="M654" i="16"/>
  <c r="G654" i="16"/>
  <c r="F654" i="16"/>
  <c r="M653" i="16"/>
  <c r="G653" i="16"/>
  <c r="F653" i="16"/>
  <c r="M652" i="16"/>
  <c r="G652" i="16"/>
  <c r="F652" i="16"/>
  <c r="M651" i="16"/>
  <c r="G651" i="16"/>
  <c r="F651" i="16"/>
  <c r="M650" i="16"/>
  <c r="G650" i="16"/>
  <c r="F650" i="16"/>
  <c r="M649" i="16"/>
  <c r="G649" i="16"/>
  <c r="F649" i="16"/>
  <c r="G643" i="16"/>
  <c r="E643" i="16"/>
  <c r="W642" i="16"/>
  <c r="V642" i="16"/>
  <c r="Q642" i="16"/>
  <c r="L642" i="16"/>
  <c r="K642" i="16"/>
  <c r="D642" i="16"/>
  <c r="F641" i="16"/>
  <c r="G640" i="16"/>
  <c r="M639" i="16"/>
  <c r="G639" i="16"/>
  <c r="M638" i="16"/>
  <c r="G638" i="16"/>
  <c r="M637" i="16"/>
  <c r="G637" i="16"/>
  <c r="F637" i="16"/>
  <c r="M636" i="16"/>
  <c r="G636" i="16"/>
  <c r="F636" i="16"/>
  <c r="M635" i="16"/>
  <c r="G635" i="16"/>
  <c r="F635" i="16"/>
  <c r="M634" i="16"/>
  <c r="G634" i="16"/>
  <c r="F634" i="16"/>
  <c r="M633" i="16"/>
  <c r="G633" i="16"/>
  <c r="F633" i="16"/>
  <c r="M632" i="16"/>
  <c r="G632" i="16"/>
  <c r="F632" i="16"/>
  <c r="M631" i="16"/>
  <c r="G631" i="16"/>
  <c r="F631" i="16"/>
  <c r="M630" i="16"/>
  <c r="G630" i="16"/>
  <c r="F630" i="16"/>
  <c r="M629" i="16"/>
  <c r="G629" i="16"/>
  <c r="F629" i="16"/>
  <c r="M628" i="16"/>
  <c r="G628" i="16"/>
  <c r="F628" i="16"/>
  <c r="M627" i="16"/>
  <c r="G627" i="16"/>
  <c r="F627" i="16"/>
  <c r="G621" i="16"/>
  <c r="E621" i="16"/>
  <c r="V620" i="16"/>
  <c r="W620" i="16" s="1"/>
  <c r="Q620" i="16"/>
  <c r="R620" i="16" s="1"/>
  <c r="L620" i="16"/>
  <c r="K620" i="16"/>
  <c r="D620" i="16"/>
  <c r="W619" i="16"/>
  <c r="R619" i="16"/>
  <c r="G619" i="16"/>
  <c r="W618" i="16"/>
  <c r="R618" i="16"/>
  <c r="W617" i="16"/>
  <c r="R617" i="16"/>
  <c r="M617" i="16"/>
  <c r="G617" i="16"/>
  <c r="W616" i="16"/>
  <c r="R616" i="16"/>
  <c r="M616" i="16"/>
  <c r="G616" i="16"/>
  <c r="W615" i="16"/>
  <c r="R615" i="16"/>
  <c r="M615" i="16"/>
  <c r="G615" i="16"/>
  <c r="W614" i="16"/>
  <c r="R614" i="16"/>
  <c r="M614" i="16"/>
  <c r="G614" i="16"/>
  <c r="W613" i="16"/>
  <c r="R613" i="16"/>
  <c r="M613" i="16"/>
  <c r="G613" i="16"/>
  <c r="W612" i="16"/>
  <c r="R612" i="16"/>
  <c r="M612" i="16"/>
  <c r="G612" i="16"/>
  <c r="F612" i="16"/>
  <c r="W611" i="16"/>
  <c r="R611" i="16"/>
  <c r="M611" i="16"/>
  <c r="G611" i="16"/>
  <c r="R610" i="16"/>
  <c r="M610" i="16"/>
  <c r="G610" i="16"/>
  <c r="F610" i="16"/>
  <c r="W609" i="16"/>
  <c r="R609" i="16"/>
  <c r="M609" i="16"/>
  <c r="G609" i="16"/>
  <c r="W608" i="16"/>
  <c r="R608" i="16"/>
  <c r="M608" i="16"/>
  <c r="G608" i="16"/>
  <c r="W607" i="16"/>
  <c r="R607" i="16"/>
  <c r="M607" i="16"/>
  <c r="G607" i="16"/>
  <c r="W606" i="16"/>
  <c r="R606" i="16"/>
  <c r="M606" i="16"/>
  <c r="G606" i="16"/>
  <c r="R605" i="16"/>
  <c r="M605" i="16"/>
  <c r="G605" i="16"/>
  <c r="R601" i="16"/>
  <c r="G601" i="16"/>
  <c r="F601" i="16"/>
  <c r="E601" i="16"/>
  <c r="E600" i="16" s="1"/>
  <c r="W600" i="16"/>
  <c r="Q600" i="16"/>
  <c r="R600" i="16" s="1"/>
  <c r="D600" i="16"/>
  <c r="R599" i="16"/>
  <c r="F599" i="16"/>
  <c r="R598" i="16"/>
  <c r="F598" i="16"/>
  <c r="R597" i="16"/>
  <c r="R596" i="16"/>
  <c r="R595" i="16"/>
  <c r="F595" i="16"/>
  <c r="R594" i="16"/>
  <c r="R593" i="16"/>
  <c r="R592" i="16"/>
  <c r="R591" i="16"/>
  <c r="R590" i="16"/>
  <c r="R589" i="16"/>
  <c r="R588" i="16"/>
  <c r="R587" i="16"/>
  <c r="R586" i="16"/>
  <c r="R585" i="16"/>
  <c r="R581" i="16"/>
  <c r="G581" i="16"/>
  <c r="F581" i="16"/>
  <c r="E581" i="16"/>
  <c r="E580" i="16" s="1"/>
  <c r="W580" i="16"/>
  <c r="Q580" i="16"/>
  <c r="R580" i="16" s="1"/>
  <c r="L580" i="16"/>
  <c r="K580" i="16"/>
  <c r="D580" i="16"/>
  <c r="R579" i="16"/>
  <c r="G579" i="16"/>
  <c r="R578" i="16"/>
  <c r="G578" i="16"/>
  <c r="R577" i="16"/>
  <c r="M577" i="16"/>
  <c r="G577" i="16"/>
  <c r="F577" i="16"/>
  <c r="R576" i="16"/>
  <c r="M576" i="16"/>
  <c r="G576" i="16"/>
  <c r="R575" i="16"/>
  <c r="M575" i="16"/>
  <c r="G575" i="16"/>
  <c r="F575" i="16"/>
  <c r="R574" i="16"/>
  <c r="G574" i="16"/>
  <c r="R573" i="16"/>
  <c r="M573" i="16"/>
  <c r="G573" i="16"/>
  <c r="F573" i="16"/>
  <c r="R572" i="16"/>
  <c r="M572" i="16"/>
  <c r="G572" i="16"/>
  <c r="F572" i="16"/>
  <c r="R571" i="16"/>
  <c r="M571" i="16"/>
  <c r="G571" i="16"/>
  <c r="F571" i="16"/>
  <c r="R570" i="16"/>
  <c r="M570" i="16"/>
  <c r="G570" i="16"/>
  <c r="F570" i="16"/>
  <c r="R569" i="16"/>
  <c r="M569" i="16"/>
  <c r="G569" i="16"/>
  <c r="F569" i="16"/>
  <c r="R568" i="16"/>
  <c r="M568" i="16"/>
  <c r="G568" i="16"/>
  <c r="F568" i="16"/>
  <c r="R567" i="16"/>
  <c r="M567" i="16"/>
  <c r="G567" i="16"/>
  <c r="F567" i="16"/>
  <c r="R566" i="16"/>
  <c r="M566" i="16"/>
  <c r="G566" i="16"/>
  <c r="F566" i="16"/>
  <c r="R565" i="16"/>
  <c r="M565" i="16"/>
  <c r="G565" i="16"/>
  <c r="F565" i="16"/>
  <c r="R561" i="16"/>
  <c r="K561" i="16"/>
  <c r="G561" i="16"/>
  <c r="F561" i="16"/>
  <c r="E561" i="16"/>
  <c r="E560" i="16" s="1"/>
  <c r="W560" i="16"/>
  <c r="Q560" i="16"/>
  <c r="D560" i="16"/>
  <c r="K559" i="16"/>
  <c r="G559" i="16"/>
  <c r="K558" i="16"/>
  <c r="G558" i="16"/>
  <c r="K557" i="16"/>
  <c r="G557" i="16"/>
  <c r="F557" i="16"/>
  <c r="K556" i="16"/>
  <c r="G556" i="16"/>
  <c r="K555" i="16"/>
  <c r="G555" i="16"/>
  <c r="K554" i="16"/>
  <c r="G554" i="16"/>
  <c r="F554" i="16"/>
  <c r="K553" i="16"/>
  <c r="M553" i="16" s="1"/>
  <c r="G553" i="16"/>
  <c r="F553" i="16"/>
  <c r="K552" i="16"/>
  <c r="M552" i="16" s="1"/>
  <c r="G552" i="16"/>
  <c r="F552" i="16"/>
  <c r="K551" i="16"/>
  <c r="M551" i="16" s="1"/>
  <c r="G551" i="16"/>
  <c r="F551" i="16"/>
  <c r="K550" i="16"/>
  <c r="M550" i="16" s="1"/>
  <c r="G550" i="16"/>
  <c r="F550" i="16"/>
  <c r="K549" i="16"/>
  <c r="G549" i="16"/>
  <c r="F549" i="16"/>
  <c r="K548" i="16"/>
  <c r="G548" i="16"/>
  <c r="F548" i="16"/>
  <c r="K547" i="16"/>
  <c r="M547" i="16" s="1"/>
  <c r="G547" i="16"/>
  <c r="F547" i="16"/>
  <c r="K546" i="16"/>
  <c r="M546" i="16" s="1"/>
  <c r="G546" i="16"/>
  <c r="F546" i="16"/>
  <c r="R545" i="16"/>
  <c r="K545" i="16"/>
  <c r="M545" i="16" s="1"/>
  <c r="G545" i="16"/>
  <c r="F545" i="16"/>
  <c r="M541" i="16"/>
  <c r="G541" i="16"/>
  <c r="F541" i="16"/>
  <c r="R540" i="16"/>
  <c r="Q540" i="16"/>
  <c r="K540" i="16"/>
  <c r="L540" i="16" s="1"/>
  <c r="E540" i="16"/>
  <c r="D540" i="16"/>
  <c r="G538" i="16"/>
  <c r="F538" i="16"/>
  <c r="M537" i="16"/>
  <c r="G537" i="16"/>
  <c r="F537" i="16"/>
  <c r="M536" i="16"/>
  <c r="G536" i="16"/>
  <c r="F536" i="16"/>
  <c r="G535" i="16"/>
  <c r="M534" i="16"/>
  <c r="G534" i="16"/>
  <c r="F534" i="16"/>
  <c r="M533" i="16"/>
  <c r="G533" i="16"/>
  <c r="F533" i="16"/>
  <c r="M532" i="16"/>
  <c r="G532" i="16"/>
  <c r="F532" i="16"/>
  <c r="M531" i="16"/>
  <c r="G531" i="16"/>
  <c r="F531" i="16"/>
  <c r="M530" i="16"/>
  <c r="G530" i="16"/>
  <c r="F530" i="16"/>
  <c r="M529" i="16"/>
  <c r="G529" i="16"/>
  <c r="F529" i="16"/>
  <c r="M528" i="16"/>
  <c r="G528" i="16"/>
  <c r="F528" i="16"/>
  <c r="M527" i="16"/>
  <c r="G527" i="16"/>
  <c r="F527" i="16"/>
  <c r="M526" i="16"/>
  <c r="G526" i="16"/>
  <c r="F526" i="16"/>
  <c r="M525" i="16"/>
  <c r="G525" i="16"/>
  <c r="F525" i="16"/>
  <c r="W521" i="16"/>
  <c r="R521" i="16"/>
  <c r="M521" i="16"/>
  <c r="L521" i="16"/>
  <c r="G521" i="16"/>
  <c r="F521" i="16"/>
  <c r="E521" i="16"/>
  <c r="W520" i="16"/>
  <c r="Q520" i="16"/>
  <c r="R520" i="16" s="1"/>
  <c r="K520" i="16"/>
  <c r="L520" i="16" s="1"/>
  <c r="D520" i="16"/>
  <c r="E520" i="16" s="1"/>
  <c r="W519" i="16"/>
  <c r="R519" i="16"/>
  <c r="L519" i="16"/>
  <c r="G519" i="16"/>
  <c r="E519" i="16"/>
  <c r="W518" i="16"/>
  <c r="R518" i="16"/>
  <c r="M518" i="16"/>
  <c r="L518" i="16"/>
  <c r="E518" i="16"/>
  <c r="W517" i="16"/>
  <c r="R517" i="16"/>
  <c r="M517" i="16"/>
  <c r="L517" i="16"/>
  <c r="G517" i="16"/>
  <c r="F517" i="16"/>
  <c r="E517" i="16"/>
  <c r="W516" i="16"/>
  <c r="R516" i="16"/>
  <c r="M516" i="16"/>
  <c r="L516" i="16"/>
  <c r="G516" i="16"/>
  <c r="F516" i="16"/>
  <c r="E516" i="16"/>
  <c r="W515" i="16"/>
  <c r="R515" i="16"/>
  <c r="L515" i="16"/>
  <c r="G515" i="16"/>
  <c r="E515" i="16"/>
  <c r="W514" i="16"/>
  <c r="R514" i="16"/>
  <c r="M514" i="16"/>
  <c r="L514" i="16"/>
  <c r="G514" i="16"/>
  <c r="F514" i="16"/>
  <c r="E514" i="16"/>
  <c r="W513" i="16"/>
  <c r="R513" i="16"/>
  <c r="M513" i="16"/>
  <c r="L513" i="16"/>
  <c r="G513" i="16"/>
  <c r="F513" i="16"/>
  <c r="E513" i="16"/>
  <c r="W512" i="16"/>
  <c r="R512" i="16"/>
  <c r="M512" i="16"/>
  <c r="L512" i="16"/>
  <c r="G512" i="16"/>
  <c r="F512" i="16"/>
  <c r="E512" i="16"/>
  <c r="W511" i="16"/>
  <c r="R511" i="16"/>
  <c r="M511" i="16"/>
  <c r="L511" i="16"/>
  <c r="G511" i="16"/>
  <c r="F511" i="16"/>
  <c r="E511" i="16"/>
  <c r="W510" i="16"/>
  <c r="R510" i="16"/>
  <c r="M510" i="16"/>
  <c r="L510" i="16"/>
  <c r="G510" i="16"/>
  <c r="F510" i="16"/>
  <c r="E510" i="16"/>
  <c r="W509" i="16"/>
  <c r="R509" i="16"/>
  <c r="M509" i="16"/>
  <c r="L509" i="16"/>
  <c r="G509" i="16"/>
  <c r="F509" i="16"/>
  <c r="E509" i="16"/>
  <c r="W508" i="16"/>
  <c r="R508" i="16"/>
  <c r="M508" i="16"/>
  <c r="L508" i="16"/>
  <c r="G508" i="16"/>
  <c r="F508" i="16"/>
  <c r="E508" i="16"/>
  <c r="W507" i="16"/>
  <c r="R507" i="16"/>
  <c r="M507" i="16"/>
  <c r="L507" i="16"/>
  <c r="G507" i="16"/>
  <c r="F507" i="16"/>
  <c r="E507" i="16"/>
  <c r="W506" i="16"/>
  <c r="R506" i="16"/>
  <c r="M506" i="16"/>
  <c r="L506" i="16"/>
  <c r="G506" i="16"/>
  <c r="F506" i="16"/>
  <c r="E506" i="16"/>
  <c r="W505" i="16"/>
  <c r="R505" i="16"/>
  <c r="M505" i="16"/>
  <c r="L505" i="16"/>
  <c r="G505" i="16"/>
  <c r="F505" i="16"/>
  <c r="E505" i="16"/>
  <c r="W501" i="16"/>
  <c r="R501" i="16"/>
  <c r="M501" i="16"/>
  <c r="L501" i="16"/>
  <c r="G501" i="16"/>
  <c r="F501" i="16"/>
  <c r="E501" i="16"/>
  <c r="V500" i="16"/>
  <c r="W500" i="16" s="1"/>
  <c r="Q500" i="16"/>
  <c r="R500" i="16" s="1"/>
  <c r="K500" i="16"/>
  <c r="L500" i="16" s="1"/>
  <c r="D500" i="16"/>
  <c r="E500" i="16" s="1"/>
  <c r="W499" i="16"/>
  <c r="R499" i="16"/>
  <c r="M499" i="16"/>
  <c r="L499" i="16"/>
  <c r="E499" i="16"/>
  <c r="W498" i="16"/>
  <c r="R498" i="16"/>
  <c r="L498" i="16"/>
  <c r="G498" i="16"/>
  <c r="E498" i="16"/>
  <c r="W497" i="16"/>
  <c r="R497" i="16"/>
  <c r="M497" i="16"/>
  <c r="L497" i="16"/>
  <c r="G497" i="16"/>
  <c r="F497" i="16"/>
  <c r="E497" i="16"/>
  <c r="W496" i="16"/>
  <c r="R496" i="16"/>
  <c r="M496" i="16"/>
  <c r="L496" i="16"/>
  <c r="G496" i="16"/>
  <c r="F496" i="16"/>
  <c r="E496" i="16"/>
  <c r="W495" i="16"/>
  <c r="R495" i="16"/>
  <c r="L495" i="16"/>
  <c r="G495" i="16"/>
  <c r="E495" i="16"/>
  <c r="W494" i="16"/>
  <c r="R494" i="16"/>
  <c r="M494" i="16"/>
  <c r="L494" i="16"/>
  <c r="G494" i="16"/>
  <c r="F494" i="16"/>
  <c r="E494" i="16"/>
  <c r="W493" i="16"/>
  <c r="R493" i="16"/>
  <c r="M493" i="16"/>
  <c r="L493" i="16"/>
  <c r="G493" i="16"/>
  <c r="E493" i="16"/>
  <c r="F493" i="16" s="1"/>
  <c r="W492" i="16"/>
  <c r="R492" i="16"/>
  <c r="M492" i="16"/>
  <c r="L492" i="16"/>
  <c r="G492" i="16"/>
  <c r="F492" i="16"/>
  <c r="E492" i="16"/>
  <c r="W491" i="16"/>
  <c r="R491" i="16"/>
  <c r="M491" i="16"/>
  <c r="L491" i="16"/>
  <c r="G491" i="16"/>
  <c r="F491" i="16"/>
  <c r="E491" i="16"/>
  <c r="W490" i="16"/>
  <c r="R490" i="16"/>
  <c r="M490" i="16"/>
  <c r="L490" i="16"/>
  <c r="G490" i="16"/>
  <c r="F490" i="16"/>
  <c r="E490" i="16"/>
  <c r="W489" i="16"/>
  <c r="R489" i="16"/>
  <c r="M489" i="16"/>
  <c r="L489" i="16"/>
  <c r="G489" i="16"/>
  <c r="F489" i="16"/>
  <c r="E489" i="16"/>
  <c r="W488" i="16"/>
  <c r="R488" i="16"/>
  <c r="M488" i="16"/>
  <c r="L488" i="16"/>
  <c r="G488" i="16"/>
  <c r="F488" i="16"/>
  <c r="E488" i="16"/>
  <c r="W487" i="16"/>
  <c r="R487" i="16"/>
  <c r="M487" i="16"/>
  <c r="L487" i="16"/>
  <c r="G487" i="16"/>
  <c r="F487" i="16"/>
  <c r="E487" i="16"/>
  <c r="W486" i="16"/>
  <c r="R486" i="16"/>
  <c r="M486" i="16"/>
  <c r="L486" i="16"/>
  <c r="G486" i="16"/>
  <c r="F486" i="16"/>
  <c r="E486" i="16"/>
  <c r="W485" i="16"/>
  <c r="R485" i="16"/>
  <c r="M485" i="16"/>
  <c r="L485" i="16"/>
  <c r="G485" i="16"/>
  <c r="F485" i="16"/>
  <c r="E485" i="16"/>
  <c r="W481" i="16"/>
  <c r="R481" i="16"/>
  <c r="L481" i="16"/>
  <c r="E481" i="16"/>
  <c r="V480" i="16"/>
  <c r="W480" i="16" s="1"/>
  <c r="K480" i="16"/>
  <c r="L480" i="16" s="1"/>
  <c r="D480" i="16"/>
  <c r="E480" i="16" s="1"/>
  <c r="W479" i="16"/>
  <c r="R479" i="16"/>
  <c r="M479" i="16"/>
  <c r="L479" i="16"/>
  <c r="F479" i="16"/>
  <c r="W478" i="16"/>
  <c r="R478" i="16"/>
  <c r="L478" i="16"/>
  <c r="G478" i="16"/>
  <c r="F478" i="16"/>
  <c r="W477" i="16"/>
  <c r="R477" i="16"/>
  <c r="M477" i="16"/>
  <c r="L477" i="16"/>
  <c r="G477" i="16"/>
  <c r="W476" i="16"/>
  <c r="R476" i="16"/>
  <c r="M476" i="16"/>
  <c r="L476" i="16"/>
  <c r="G476" i="16"/>
  <c r="F476" i="16"/>
  <c r="W475" i="16"/>
  <c r="R475" i="16"/>
  <c r="L475" i="16"/>
  <c r="G475" i="16"/>
  <c r="W474" i="16"/>
  <c r="R474" i="16"/>
  <c r="M474" i="16"/>
  <c r="L474" i="16"/>
  <c r="G474" i="16"/>
  <c r="F474" i="16"/>
  <c r="W473" i="16"/>
  <c r="R473" i="16"/>
  <c r="M473" i="16"/>
  <c r="L473" i="16"/>
  <c r="G473" i="16"/>
  <c r="F473" i="16"/>
  <c r="W472" i="16"/>
  <c r="R472" i="16"/>
  <c r="M472" i="16"/>
  <c r="L472" i="16"/>
  <c r="G472" i="16"/>
  <c r="F472" i="16"/>
  <c r="W471" i="16"/>
  <c r="Q471" i="16"/>
  <c r="M471" i="16"/>
  <c r="L471" i="16"/>
  <c r="G471" i="16"/>
  <c r="F471" i="16"/>
  <c r="W470" i="16"/>
  <c r="R470" i="16"/>
  <c r="M470" i="16"/>
  <c r="L470" i="16"/>
  <c r="G470" i="16"/>
  <c r="F470" i="16"/>
  <c r="W469" i="16"/>
  <c r="Q469" i="16"/>
  <c r="R469" i="16" s="1"/>
  <c r="M469" i="16"/>
  <c r="L469" i="16"/>
  <c r="G469" i="16"/>
  <c r="F469" i="16"/>
  <c r="W468" i="16"/>
  <c r="R468" i="16"/>
  <c r="M468" i="16"/>
  <c r="L468" i="16"/>
  <c r="G468" i="16"/>
  <c r="F468" i="16"/>
  <c r="W467" i="16"/>
  <c r="R467" i="16"/>
  <c r="M467" i="16"/>
  <c r="L467" i="16"/>
  <c r="G467" i="16"/>
  <c r="F467" i="16"/>
  <c r="W466" i="16"/>
  <c r="R466" i="16"/>
  <c r="M466" i="16"/>
  <c r="L466" i="16"/>
  <c r="G466" i="16"/>
  <c r="F466" i="16"/>
  <c r="W465" i="16"/>
  <c r="R465" i="16"/>
  <c r="M465" i="16"/>
  <c r="L465" i="16"/>
  <c r="G465" i="16"/>
  <c r="F465" i="16"/>
  <c r="W461" i="16"/>
  <c r="R461" i="16"/>
  <c r="M461" i="16"/>
  <c r="L461" i="16"/>
  <c r="G461" i="16"/>
  <c r="F461" i="16"/>
  <c r="E461" i="16"/>
  <c r="W460" i="16"/>
  <c r="Q460" i="16"/>
  <c r="R460" i="16" s="1"/>
  <c r="K460" i="16"/>
  <c r="L460" i="16" s="1"/>
  <c r="D460" i="16"/>
  <c r="E460" i="16" s="1"/>
  <c r="W459" i="16"/>
  <c r="R459" i="16"/>
  <c r="L459" i="16"/>
  <c r="E459" i="16"/>
  <c r="W458" i="16"/>
  <c r="R458" i="16"/>
  <c r="L458" i="16"/>
  <c r="G458" i="16"/>
  <c r="F458" i="16"/>
  <c r="E458" i="16"/>
  <c r="W457" i="16"/>
  <c r="R457" i="16"/>
  <c r="M457" i="16"/>
  <c r="L457" i="16"/>
  <c r="G457" i="16"/>
  <c r="E457" i="16"/>
  <c r="W456" i="16"/>
  <c r="R456" i="16"/>
  <c r="M456" i="16"/>
  <c r="L456" i="16"/>
  <c r="G456" i="16"/>
  <c r="F456" i="16"/>
  <c r="E456" i="16"/>
  <c r="W455" i="16"/>
  <c r="R455" i="16"/>
  <c r="L455" i="16"/>
  <c r="G455" i="16"/>
  <c r="E455" i="16"/>
  <c r="W454" i="16"/>
  <c r="R454" i="16"/>
  <c r="M454" i="16"/>
  <c r="L454" i="16"/>
  <c r="G454" i="16"/>
  <c r="F454" i="16"/>
  <c r="E454" i="16"/>
  <c r="W453" i="16"/>
  <c r="R453" i="16"/>
  <c r="M453" i="16"/>
  <c r="L453" i="16"/>
  <c r="G453" i="16"/>
  <c r="F453" i="16"/>
  <c r="E453" i="16"/>
  <c r="W452" i="16"/>
  <c r="R452" i="16"/>
  <c r="M452" i="16"/>
  <c r="L452" i="16"/>
  <c r="G452" i="16"/>
  <c r="F452" i="16"/>
  <c r="E452" i="16"/>
  <c r="W451" i="16"/>
  <c r="R451" i="16"/>
  <c r="M451" i="16"/>
  <c r="L451" i="16"/>
  <c r="G451" i="16"/>
  <c r="F451" i="16"/>
  <c r="E451" i="16"/>
  <c r="W450" i="16"/>
  <c r="R450" i="16"/>
  <c r="M450" i="16"/>
  <c r="L450" i="16"/>
  <c r="G450" i="16"/>
  <c r="F450" i="16"/>
  <c r="E450" i="16"/>
  <c r="W449" i="16"/>
  <c r="R449" i="16"/>
  <c r="M449" i="16"/>
  <c r="L449" i="16"/>
  <c r="G449" i="16"/>
  <c r="F449" i="16"/>
  <c r="E449" i="16"/>
  <c r="W448" i="16"/>
  <c r="R448" i="16"/>
  <c r="M448" i="16"/>
  <c r="L448" i="16"/>
  <c r="G448" i="16"/>
  <c r="F448" i="16"/>
  <c r="E448" i="16"/>
  <c r="W447" i="16"/>
  <c r="R447" i="16"/>
  <c r="M447" i="16"/>
  <c r="L447" i="16"/>
  <c r="G447" i="16"/>
  <c r="F447" i="16"/>
  <c r="E447" i="16"/>
  <c r="W446" i="16"/>
  <c r="R446" i="16"/>
  <c r="M446" i="16"/>
  <c r="L446" i="16"/>
  <c r="G446" i="16"/>
  <c r="F446" i="16"/>
  <c r="E446" i="16"/>
  <c r="V445" i="16"/>
  <c r="W445" i="16" s="1"/>
  <c r="R445" i="16"/>
  <c r="M445" i="16"/>
  <c r="L445" i="16"/>
  <c r="G445" i="16"/>
  <c r="F445" i="16"/>
  <c r="E445" i="16"/>
  <c r="W441" i="16"/>
  <c r="R441" i="16"/>
  <c r="M441" i="16"/>
  <c r="L441" i="16"/>
  <c r="G441" i="16"/>
  <c r="F441" i="16"/>
  <c r="E441" i="16"/>
  <c r="W440" i="16"/>
  <c r="Q440" i="16"/>
  <c r="R440" i="16" s="1"/>
  <c r="K440" i="16"/>
  <c r="L440" i="16" s="1"/>
  <c r="D440" i="16"/>
  <c r="E440" i="16" s="1"/>
  <c r="W439" i="16"/>
  <c r="R439" i="16"/>
  <c r="L439" i="16"/>
  <c r="G439" i="16"/>
  <c r="F439" i="16"/>
  <c r="E439" i="16"/>
  <c r="W438" i="16"/>
  <c r="R438" i="16"/>
  <c r="L438" i="16"/>
  <c r="G438" i="16"/>
  <c r="E438" i="16"/>
  <c r="W437" i="16"/>
  <c r="R437" i="16"/>
  <c r="M437" i="16"/>
  <c r="L437" i="16"/>
  <c r="G437" i="16"/>
  <c r="E437" i="16"/>
  <c r="W436" i="16"/>
  <c r="R436" i="16"/>
  <c r="M436" i="16"/>
  <c r="L436" i="16"/>
  <c r="G436" i="16"/>
  <c r="F436" i="16"/>
  <c r="E436" i="16"/>
  <c r="W435" i="16"/>
  <c r="R435" i="16"/>
  <c r="L435" i="16"/>
  <c r="G435" i="16"/>
  <c r="E435" i="16"/>
  <c r="W434" i="16"/>
  <c r="R434" i="16"/>
  <c r="M434" i="16"/>
  <c r="L434" i="16"/>
  <c r="G434" i="16"/>
  <c r="F434" i="16"/>
  <c r="E434" i="16"/>
  <c r="W433" i="16"/>
  <c r="R433" i="16"/>
  <c r="M433" i="16"/>
  <c r="L433" i="16"/>
  <c r="G433" i="16"/>
  <c r="F433" i="16"/>
  <c r="E433" i="16"/>
  <c r="W432" i="16"/>
  <c r="R432" i="16"/>
  <c r="M432" i="16"/>
  <c r="L432" i="16"/>
  <c r="G432" i="16"/>
  <c r="F432" i="16"/>
  <c r="E432" i="16"/>
  <c r="W431" i="16"/>
  <c r="R431" i="16"/>
  <c r="M431" i="16"/>
  <c r="L431" i="16"/>
  <c r="G431" i="16"/>
  <c r="F431" i="16"/>
  <c r="E431" i="16"/>
  <c r="W430" i="16"/>
  <c r="R430" i="16"/>
  <c r="M430" i="16"/>
  <c r="L430" i="16"/>
  <c r="G430" i="16"/>
  <c r="F430" i="16"/>
  <c r="E430" i="16"/>
  <c r="W429" i="16"/>
  <c r="R429" i="16"/>
  <c r="M429" i="16"/>
  <c r="L429" i="16"/>
  <c r="G429" i="16"/>
  <c r="F429" i="16"/>
  <c r="E429" i="16"/>
  <c r="W428" i="16"/>
  <c r="R428" i="16"/>
  <c r="M428" i="16"/>
  <c r="L428" i="16"/>
  <c r="G428" i="16"/>
  <c r="F428" i="16"/>
  <c r="E428" i="16"/>
  <c r="W427" i="16"/>
  <c r="R427" i="16"/>
  <c r="M427" i="16"/>
  <c r="L427" i="16"/>
  <c r="G427" i="16"/>
  <c r="F427" i="16"/>
  <c r="E427" i="16"/>
  <c r="W426" i="16"/>
  <c r="R426" i="16"/>
  <c r="M426" i="16"/>
  <c r="L426" i="16"/>
  <c r="G426" i="16"/>
  <c r="F426" i="16"/>
  <c r="E426" i="16"/>
  <c r="W425" i="16"/>
  <c r="R425" i="16"/>
  <c r="M425" i="16"/>
  <c r="L425" i="16"/>
  <c r="G425" i="16"/>
  <c r="F425" i="16"/>
  <c r="E425" i="16"/>
  <c r="W421" i="16"/>
  <c r="R421" i="16"/>
  <c r="M421" i="16"/>
  <c r="L421" i="16"/>
  <c r="G421" i="16"/>
  <c r="F421" i="16"/>
  <c r="E421" i="16"/>
  <c r="W420" i="16"/>
  <c r="Q420" i="16"/>
  <c r="R420" i="16" s="1"/>
  <c r="K420" i="16"/>
  <c r="L420" i="16" s="1"/>
  <c r="D420" i="16"/>
  <c r="E420" i="16" s="1"/>
  <c r="W419" i="16"/>
  <c r="R419" i="16"/>
  <c r="M419" i="16"/>
  <c r="L419" i="16"/>
  <c r="G419" i="16"/>
  <c r="F419" i="16"/>
  <c r="E419" i="16"/>
  <c r="W418" i="16"/>
  <c r="R418" i="16"/>
  <c r="M418" i="16"/>
  <c r="L418" i="16"/>
  <c r="G418" i="16"/>
  <c r="E418" i="16"/>
  <c r="W417" i="16"/>
  <c r="R417" i="16"/>
  <c r="M417" i="16"/>
  <c r="L417" i="16"/>
  <c r="G417" i="16"/>
  <c r="E417" i="16"/>
  <c r="W416" i="16"/>
  <c r="R416" i="16"/>
  <c r="M416" i="16"/>
  <c r="L416" i="16"/>
  <c r="G416" i="16"/>
  <c r="F416" i="16"/>
  <c r="E416" i="16"/>
  <c r="W415" i="16"/>
  <c r="R415" i="16"/>
  <c r="M415" i="16"/>
  <c r="L415" i="16"/>
  <c r="G415" i="16"/>
  <c r="F415" i="16"/>
  <c r="E415" i="16"/>
  <c r="W414" i="16"/>
  <c r="R414" i="16"/>
  <c r="M414" i="16"/>
  <c r="L414" i="16"/>
  <c r="G414" i="16"/>
  <c r="E414" i="16"/>
  <c r="W413" i="16"/>
  <c r="R413" i="16"/>
  <c r="M413" i="16"/>
  <c r="L413" i="16"/>
  <c r="G413" i="16"/>
  <c r="F413" i="16"/>
  <c r="E413" i="16"/>
  <c r="W412" i="16"/>
  <c r="R412" i="16"/>
  <c r="M412" i="16"/>
  <c r="L412" i="16"/>
  <c r="G412" i="16"/>
  <c r="F412" i="16"/>
  <c r="E412" i="16"/>
  <c r="W411" i="16"/>
  <c r="R411" i="16"/>
  <c r="M411" i="16"/>
  <c r="L411" i="16"/>
  <c r="G411" i="16"/>
  <c r="F411" i="16"/>
  <c r="E411" i="16"/>
  <c r="W410" i="16"/>
  <c r="R410" i="16"/>
  <c r="M410" i="16"/>
  <c r="L410" i="16"/>
  <c r="G410" i="16"/>
  <c r="F410" i="16"/>
  <c r="E410" i="16"/>
  <c r="W409" i="16"/>
  <c r="R409" i="16"/>
  <c r="M409" i="16"/>
  <c r="L409" i="16"/>
  <c r="G409" i="16"/>
  <c r="F409" i="16"/>
  <c r="E409" i="16"/>
  <c r="W408" i="16"/>
  <c r="R408" i="16"/>
  <c r="M408" i="16"/>
  <c r="L408" i="16"/>
  <c r="G408" i="16"/>
  <c r="F408" i="16"/>
  <c r="E408" i="16"/>
  <c r="W407" i="16"/>
  <c r="R407" i="16"/>
  <c r="M407" i="16"/>
  <c r="L407" i="16"/>
  <c r="G407" i="16"/>
  <c r="F407" i="16"/>
  <c r="E407" i="16"/>
  <c r="W406" i="16"/>
  <c r="R406" i="16"/>
  <c r="M406" i="16"/>
  <c r="L406" i="16"/>
  <c r="G406" i="16"/>
  <c r="F406" i="16"/>
  <c r="E406" i="16"/>
  <c r="W405" i="16"/>
  <c r="R405" i="16"/>
  <c r="M405" i="16"/>
  <c r="L405" i="16"/>
  <c r="G405" i="16"/>
  <c r="F405" i="16"/>
  <c r="E405" i="16"/>
  <c r="W401" i="16"/>
  <c r="R401" i="16"/>
  <c r="M401" i="16"/>
  <c r="L401" i="16"/>
  <c r="G401" i="16"/>
  <c r="F401" i="16"/>
  <c r="E401" i="16"/>
  <c r="W400" i="16"/>
  <c r="Q400" i="16"/>
  <c r="R400" i="16" s="1"/>
  <c r="K400" i="16"/>
  <c r="L400" i="16" s="1"/>
  <c r="D400" i="16"/>
  <c r="E400" i="16" s="1"/>
  <c r="W399" i="16"/>
  <c r="R399" i="16"/>
  <c r="L399" i="16"/>
  <c r="G399" i="16"/>
  <c r="E399" i="16"/>
  <c r="W398" i="16"/>
  <c r="R398" i="16"/>
  <c r="L398" i="16"/>
  <c r="G398" i="16"/>
  <c r="F398" i="16"/>
  <c r="E398" i="16"/>
  <c r="W397" i="16"/>
  <c r="R397" i="16"/>
  <c r="M397" i="16"/>
  <c r="L397" i="16"/>
  <c r="G397" i="16"/>
  <c r="F397" i="16"/>
  <c r="E397" i="16"/>
  <c r="W396" i="16"/>
  <c r="R396" i="16"/>
  <c r="M396" i="16"/>
  <c r="L396" i="16"/>
  <c r="G396" i="16"/>
  <c r="E396" i="16"/>
  <c r="W395" i="16"/>
  <c r="R395" i="16"/>
  <c r="L395" i="16"/>
  <c r="G395" i="16"/>
  <c r="E395" i="16"/>
  <c r="W394" i="16"/>
  <c r="R394" i="16"/>
  <c r="L394" i="16"/>
  <c r="E394" i="16"/>
  <c r="W393" i="16"/>
  <c r="R393" i="16"/>
  <c r="M393" i="16"/>
  <c r="L393" i="16"/>
  <c r="G393" i="16"/>
  <c r="F393" i="16"/>
  <c r="E393" i="16"/>
  <c r="W392" i="16"/>
  <c r="R392" i="16"/>
  <c r="M392" i="16"/>
  <c r="L392" i="16"/>
  <c r="G392" i="16"/>
  <c r="F392" i="16"/>
  <c r="E392" i="16"/>
  <c r="W391" i="16"/>
  <c r="R391" i="16"/>
  <c r="M391" i="16"/>
  <c r="L391" i="16"/>
  <c r="G391" i="16"/>
  <c r="F391" i="16"/>
  <c r="E391" i="16"/>
  <c r="W390" i="16"/>
  <c r="R390" i="16"/>
  <c r="M390" i="16"/>
  <c r="L390" i="16"/>
  <c r="G390" i="16"/>
  <c r="F390" i="16"/>
  <c r="E390" i="16"/>
  <c r="W389" i="16"/>
  <c r="R389" i="16"/>
  <c r="M389" i="16"/>
  <c r="L389" i="16"/>
  <c r="G389" i="16"/>
  <c r="F389" i="16"/>
  <c r="E389" i="16"/>
  <c r="W388" i="16"/>
  <c r="R388" i="16"/>
  <c r="M388" i="16"/>
  <c r="L388" i="16"/>
  <c r="G388" i="16"/>
  <c r="F388" i="16"/>
  <c r="E388" i="16"/>
  <c r="W387" i="16"/>
  <c r="R387" i="16"/>
  <c r="M387" i="16"/>
  <c r="L387" i="16"/>
  <c r="G387" i="16"/>
  <c r="F387" i="16"/>
  <c r="E387" i="16"/>
  <c r="W386" i="16"/>
  <c r="R386" i="16"/>
  <c r="M386" i="16"/>
  <c r="L386" i="16"/>
  <c r="G386" i="16"/>
  <c r="F386" i="16"/>
  <c r="E386" i="16"/>
  <c r="W385" i="16"/>
  <c r="R385" i="16"/>
  <c r="M385" i="16"/>
  <c r="L385" i="16"/>
  <c r="G385" i="16"/>
  <c r="F385" i="16"/>
  <c r="E385" i="16"/>
  <c r="W381" i="16"/>
  <c r="R381" i="16"/>
  <c r="M381" i="16"/>
  <c r="L381" i="16"/>
  <c r="E381" i="16"/>
  <c r="W380" i="16"/>
  <c r="Q380" i="16"/>
  <c r="R380" i="16" s="1"/>
  <c r="K380" i="16"/>
  <c r="L380" i="16" s="1"/>
  <c r="D380" i="16"/>
  <c r="E380" i="16" s="1"/>
  <c r="W379" i="16"/>
  <c r="R379" i="16"/>
  <c r="L379" i="16"/>
  <c r="G379" i="16"/>
  <c r="F379" i="16"/>
  <c r="E379" i="16"/>
  <c r="W378" i="16"/>
  <c r="R378" i="16"/>
  <c r="L378" i="16"/>
  <c r="G378" i="16"/>
  <c r="E378" i="16"/>
  <c r="W377" i="16"/>
  <c r="R377" i="16"/>
  <c r="M377" i="16"/>
  <c r="L377" i="16"/>
  <c r="G377" i="16"/>
  <c r="F377" i="16"/>
  <c r="E377" i="16"/>
  <c r="W376" i="16"/>
  <c r="R376" i="16"/>
  <c r="M376" i="16"/>
  <c r="L376" i="16"/>
  <c r="G376" i="16"/>
  <c r="E376" i="16"/>
  <c r="W375" i="16"/>
  <c r="R375" i="16"/>
  <c r="L375" i="16"/>
  <c r="G375" i="16"/>
  <c r="E375" i="16"/>
  <c r="W374" i="16"/>
  <c r="R374" i="16"/>
  <c r="L374" i="16"/>
  <c r="G374" i="16"/>
  <c r="F374" i="16"/>
  <c r="E374" i="16"/>
  <c r="W373" i="16"/>
  <c r="R373" i="16"/>
  <c r="M373" i="16"/>
  <c r="L373" i="16"/>
  <c r="G373" i="16"/>
  <c r="F373" i="16"/>
  <c r="E373" i="16"/>
  <c r="W372" i="16"/>
  <c r="R372" i="16"/>
  <c r="M372" i="16"/>
  <c r="L372" i="16"/>
  <c r="G372" i="16"/>
  <c r="F372" i="16"/>
  <c r="E372" i="16"/>
  <c r="W371" i="16"/>
  <c r="R371" i="16"/>
  <c r="M371" i="16"/>
  <c r="L371" i="16"/>
  <c r="G371" i="16"/>
  <c r="F371" i="16"/>
  <c r="E371" i="16"/>
  <c r="W370" i="16"/>
  <c r="R370" i="16"/>
  <c r="L370" i="16"/>
  <c r="G370" i="16"/>
  <c r="F370" i="16"/>
  <c r="E370" i="16"/>
  <c r="W369" i="16"/>
  <c r="R369" i="16"/>
  <c r="M369" i="16"/>
  <c r="L369" i="16"/>
  <c r="G369" i="16"/>
  <c r="F369" i="16"/>
  <c r="E369" i="16"/>
  <c r="W368" i="16"/>
  <c r="R368" i="16"/>
  <c r="M368" i="16"/>
  <c r="L368" i="16"/>
  <c r="G368" i="16"/>
  <c r="F368" i="16"/>
  <c r="E368" i="16"/>
  <c r="W367" i="16"/>
  <c r="R367" i="16"/>
  <c r="M367" i="16"/>
  <c r="L367" i="16"/>
  <c r="G367" i="16"/>
  <c r="F367" i="16"/>
  <c r="E367" i="16"/>
  <c r="W366" i="16"/>
  <c r="R366" i="16"/>
  <c r="M366" i="16"/>
  <c r="L366" i="16"/>
  <c r="G366" i="16"/>
  <c r="E366" i="16"/>
  <c r="W365" i="16"/>
  <c r="R365" i="16"/>
  <c r="M365" i="16"/>
  <c r="L365" i="16"/>
  <c r="G365" i="16"/>
  <c r="F365" i="16"/>
  <c r="E365" i="16"/>
  <c r="L360" i="16"/>
  <c r="E360" i="16"/>
  <c r="V358" i="16"/>
  <c r="Q341" i="16"/>
  <c r="H608" i="15"/>
  <c r="G608" i="15"/>
  <c r="F608" i="15"/>
  <c r="H607" i="15"/>
  <c r="G607" i="15"/>
  <c r="F607" i="15"/>
  <c r="H606" i="15"/>
  <c r="G606" i="15"/>
  <c r="F606" i="15"/>
  <c r="H605" i="15"/>
  <c r="G605" i="15"/>
  <c r="F605" i="15"/>
  <c r="H604" i="15"/>
  <c r="G604" i="15"/>
  <c r="F604" i="15"/>
  <c r="H603" i="15"/>
  <c r="G603" i="15"/>
  <c r="F603" i="15"/>
  <c r="H602" i="15"/>
  <c r="G602" i="15"/>
  <c r="F602" i="15"/>
  <c r="H601" i="15"/>
  <c r="G601" i="15"/>
  <c r="F601" i="15"/>
  <c r="H600" i="15"/>
  <c r="G600" i="15"/>
  <c r="F600" i="15"/>
  <c r="H599" i="15"/>
  <c r="G599" i="15"/>
  <c r="F599" i="15"/>
  <c r="H598" i="15"/>
  <c r="G598" i="15"/>
  <c r="F598" i="15"/>
  <c r="H597" i="15"/>
  <c r="G597" i="15"/>
  <c r="F597" i="15"/>
  <c r="H593" i="15"/>
  <c r="G593" i="15"/>
  <c r="F593" i="15"/>
  <c r="G592" i="15"/>
  <c r="E592" i="15"/>
  <c r="H592" i="15" s="1"/>
  <c r="H591" i="15"/>
  <c r="G591" i="15"/>
  <c r="F591" i="15"/>
  <c r="H590" i="15"/>
  <c r="G590" i="15"/>
  <c r="F590" i="15"/>
  <c r="H589" i="15"/>
  <c r="G589" i="15"/>
  <c r="H588" i="15"/>
  <c r="G588" i="15"/>
  <c r="F588" i="15"/>
  <c r="H587" i="15"/>
  <c r="G587" i="15"/>
  <c r="H586" i="15"/>
  <c r="G586" i="15"/>
  <c r="F586" i="15"/>
  <c r="H585" i="15"/>
  <c r="G585" i="15"/>
  <c r="F585" i="15"/>
  <c r="H584" i="15"/>
  <c r="G584" i="15"/>
  <c r="F584" i="15"/>
  <c r="H583" i="15"/>
  <c r="G583" i="15"/>
  <c r="F583" i="15"/>
  <c r="H582" i="15"/>
  <c r="G582" i="15"/>
  <c r="F582" i="15"/>
  <c r="H578" i="15"/>
  <c r="G578" i="15"/>
  <c r="F578" i="15"/>
  <c r="H577" i="15"/>
  <c r="G577" i="15"/>
  <c r="F577" i="15"/>
  <c r="H576" i="15"/>
  <c r="G576" i="15"/>
  <c r="F576" i="15"/>
  <c r="H575" i="15"/>
  <c r="G575" i="15"/>
  <c r="F575" i="15"/>
  <c r="H574" i="15"/>
  <c r="G574" i="15"/>
  <c r="F574" i="15"/>
  <c r="H573" i="15"/>
  <c r="G573" i="15"/>
  <c r="E572" i="15"/>
  <c r="H572" i="15" s="1"/>
  <c r="D572" i="15"/>
  <c r="H571" i="15"/>
  <c r="G571" i="15"/>
  <c r="F571" i="15"/>
  <c r="H570" i="15"/>
  <c r="G570" i="15"/>
  <c r="F570" i="15"/>
  <c r="H569" i="15"/>
  <c r="G569" i="15"/>
  <c r="F569" i="15"/>
  <c r="H568" i="15"/>
  <c r="G568" i="15"/>
  <c r="F568" i="15"/>
  <c r="H567" i="15"/>
  <c r="G567" i="15"/>
  <c r="F567" i="15"/>
  <c r="E563" i="15"/>
  <c r="H559" i="15" s="1"/>
  <c r="D563" i="15"/>
  <c r="G559" i="15" s="1"/>
  <c r="E562" i="15"/>
  <c r="D562" i="15"/>
  <c r="E561" i="15"/>
  <c r="E560" i="15"/>
  <c r="F560" i="15" s="1"/>
  <c r="F559" i="15"/>
  <c r="F558" i="15"/>
  <c r="E557" i="15"/>
  <c r="E556" i="15"/>
  <c r="D556" i="15"/>
  <c r="E555" i="15"/>
  <c r="D555" i="15"/>
  <c r="E554" i="15"/>
  <c r="D554" i="15"/>
  <c r="F553" i="15"/>
  <c r="F552" i="15"/>
  <c r="E548" i="15"/>
  <c r="H548" i="15" s="1"/>
  <c r="D548" i="15"/>
  <c r="G548" i="15" s="1"/>
  <c r="E547" i="15"/>
  <c r="D547" i="15"/>
  <c r="E546" i="15"/>
  <c r="D546" i="15"/>
  <c r="E545" i="15"/>
  <c r="D545" i="15"/>
  <c r="E544" i="15"/>
  <c r="D544" i="15"/>
  <c r="E543" i="15"/>
  <c r="D543" i="15"/>
  <c r="E542" i="15"/>
  <c r="D542" i="15"/>
  <c r="E541" i="15"/>
  <c r="D541" i="15"/>
  <c r="E540" i="15"/>
  <c r="D540" i="15"/>
  <c r="E539" i="15"/>
  <c r="D539" i="15"/>
  <c r="E538" i="15"/>
  <c r="D538" i="15"/>
  <c r="E537" i="15"/>
  <c r="D537" i="15"/>
  <c r="E533" i="15"/>
  <c r="H533" i="15" s="1"/>
  <c r="D533" i="15"/>
  <c r="G533" i="15" s="1"/>
  <c r="E532" i="15"/>
  <c r="D532" i="15"/>
  <c r="E531" i="15"/>
  <c r="D531" i="15"/>
  <c r="E530" i="15"/>
  <c r="D530" i="15"/>
  <c r="E529" i="15"/>
  <c r="D529" i="15"/>
  <c r="E528" i="15"/>
  <c r="D528" i="15"/>
  <c r="E527" i="15"/>
  <c r="D527" i="15"/>
  <c r="E526" i="15"/>
  <c r="D526" i="15"/>
  <c r="E525" i="15"/>
  <c r="D525" i="15"/>
  <c r="E524" i="15"/>
  <c r="D524" i="15"/>
  <c r="E523" i="15"/>
  <c r="D523" i="15"/>
  <c r="E522" i="15"/>
  <c r="D522" i="15"/>
  <c r="E518" i="15"/>
  <c r="H518" i="15" s="1"/>
  <c r="D518" i="15"/>
  <c r="G518" i="15" s="1"/>
  <c r="E517" i="15"/>
  <c r="D517" i="15"/>
  <c r="E516" i="15"/>
  <c r="D516" i="15"/>
  <c r="E515" i="15"/>
  <c r="D515" i="15"/>
  <c r="E514" i="15"/>
  <c r="D514" i="15"/>
  <c r="E513" i="15"/>
  <c r="D513" i="15"/>
  <c r="E512" i="15"/>
  <c r="D512" i="15"/>
  <c r="E511" i="15"/>
  <c r="D511" i="15"/>
  <c r="E510" i="15"/>
  <c r="D510" i="15"/>
  <c r="E509" i="15"/>
  <c r="D509" i="15"/>
  <c r="E508" i="15"/>
  <c r="D508" i="15"/>
  <c r="E507" i="15"/>
  <c r="D507" i="15"/>
  <c r="E503" i="15"/>
  <c r="H503" i="15" s="1"/>
  <c r="D503" i="15"/>
  <c r="G503" i="15" s="1"/>
  <c r="E502" i="15"/>
  <c r="D502" i="15"/>
  <c r="E501" i="15"/>
  <c r="D501" i="15"/>
  <c r="E500" i="15"/>
  <c r="D500" i="15"/>
  <c r="E499" i="15"/>
  <c r="D499" i="15"/>
  <c r="E498" i="15"/>
  <c r="D498" i="15"/>
  <c r="E497" i="15"/>
  <c r="D497" i="15"/>
  <c r="E496" i="15"/>
  <c r="D496" i="15"/>
  <c r="E495" i="15"/>
  <c r="D495" i="15"/>
  <c r="E494" i="15"/>
  <c r="D494" i="15"/>
  <c r="E493" i="15"/>
  <c r="D493" i="15"/>
  <c r="E492" i="15"/>
  <c r="D492" i="15"/>
  <c r="E488" i="15"/>
  <c r="H488" i="15" s="1"/>
  <c r="D488" i="15"/>
  <c r="E487" i="15"/>
  <c r="D487" i="15"/>
  <c r="E486" i="15"/>
  <c r="D486" i="15"/>
  <c r="E485" i="15"/>
  <c r="D485" i="15"/>
  <c r="D484" i="15"/>
  <c r="E483" i="15"/>
  <c r="D483" i="15"/>
  <c r="E482" i="15"/>
  <c r="D482" i="15"/>
  <c r="E481" i="15"/>
  <c r="D481" i="15"/>
  <c r="E480" i="15"/>
  <c r="D480" i="15"/>
  <c r="E479" i="15"/>
  <c r="D479" i="15"/>
  <c r="E478" i="15"/>
  <c r="D478" i="15"/>
  <c r="E477" i="15"/>
  <c r="D477" i="15"/>
  <c r="E473" i="15"/>
  <c r="D473" i="15"/>
  <c r="N472" i="15"/>
  <c r="E472" i="15"/>
  <c r="D472" i="15"/>
  <c r="O471" i="15"/>
  <c r="E471" i="15"/>
  <c r="D471" i="15"/>
  <c r="O470" i="15"/>
  <c r="E470" i="15"/>
  <c r="D470" i="15"/>
  <c r="O469" i="15"/>
  <c r="E469" i="15"/>
  <c r="D469" i="15"/>
  <c r="E468" i="15"/>
  <c r="D468" i="15"/>
  <c r="O467" i="15"/>
  <c r="E467" i="15"/>
  <c r="D467" i="15"/>
  <c r="O466" i="15"/>
  <c r="N466" i="15"/>
  <c r="E466" i="15"/>
  <c r="D466" i="15"/>
  <c r="N465" i="15"/>
  <c r="E465" i="15"/>
  <c r="D465" i="15"/>
  <c r="O464" i="15"/>
  <c r="E464" i="15"/>
  <c r="D464" i="15"/>
  <c r="O463" i="15"/>
  <c r="N463" i="15"/>
  <c r="E463" i="15"/>
  <c r="D463" i="15"/>
  <c r="O462" i="15"/>
  <c r="N462" i="15"/>
  <c r="E462" i="15"/>
  <c r="D462" i="15"/>
  <c r="E458" i="15"/>
  <c r="H443" i="15" s="1"/>
  <c r="D458" i="15"/>
  <c r="P457" i="15"/>
  <c r="O457" i="15"/>
  <c r="E457" i="15"/>
  <c r="D457" i="15"/>
  <c r="P456" i="15"/>
  <c r="O456" i="15"/>
  <c r="E456" i="15"/>
  <c r="D456" i="15"/>
  <c r="P455" i="15"/>
  <c r="O455" i="15"/>
  <c r="E455" i="15"/>
  <c r="D455" i="15"/>
  <c r="P454" i="15"/>
  <c r="O454" i="15"/>
  <c r="E454" i="15"/>
  <c r="D454" i="15"/>
  <c r="P453" i="15"/>
  <c r="O453" i="15"/>
  <c r="E453" i="15"/>
  <c r="D453" i="15"/>
  <c r="P452" i="15"/>
  <c r="O452" i="15"/>
  <c r="E452" i="15"/>
  <c r="D452" i="15"/>
  <c r="P451" i="15"/>
  <c r="E451" i="15"/>
  <c r="D451" i="15"/>
  <c r="P450" i="15"/>
  <c r="O450" i="15"/>
  <c r="N450" i="15"/>
  <c r="E450" i="15"/>
  <c r="D450" i="15"/>
  <c r="P449" i="15"/>
  <c r="O449" i="15"/>
  <c r="E449" i="15"/>
  <c r="D449" i="15"/>
  <c r="P448" i="15"/>
  <c r="O448" i="15"/>
  <c r="N448" i="15"/>
  <c r="E448" i="15"/>
  <c r="D448" i="15"/>
  <c r="P447" i="15"/>
  <c r="E447" i="15"/>
  <c r="D447" i="15"/>
  <c r="P443" i="15"/>
  <c r="P428" i="15"/>
  <c r="O428" i="15"/>
  <c r="N428" i="15"/>
  <c r="E428" i="15"/>
  <c r="H428" i="15" s="1"/>
  <c r="D428" i="15"/>
  <c r="P427" i="15"/>
  <c r="O427" i="15"/>
  <c r="N427" i="15"/>
  <c r="E427" i="15"/>
  <c r="D427" i="15"/>
  <c r="P426" i="15"/>
  <c r="O426" i="15"/>
  <c r="N426" i="15"/>
  <c r="E426" i="15"/>
  <c r="D426" i="15"/>
  <c r="P425" i="15"/>
  <c r="O425" i="15"/>
  <c r="N425" i="15"/>
  <c r="E425" i="15"/>
  <c r="D425" i="15"/>
  <c r="P424" i="15"/>
  <c r="O424" i="15"/>
  <c r="N424" i="15"/>
  <c r="D424" i="15"/>
  <c r="D33" i="15" s="1"/>
  <c r="P423" i="15"/>
  <c r="O423" i="15"/>
  <c r="N423" i="15"/>
  <c r="E423" i="15"/>
  <c r="D423" i="15"/>
  <c r="P422" i="15"/>
  <c r="O422" i="15"/>
  <c r="N422" i="15"/>
  <c r="E422" i="15"/>
  <c r="D422" i="15"/>
  <c r="P421" i="15"/>
  <c r="O421" i="15"/>
  <c r="N421" i="15"/>
  <c r="E421" i="15"/>
  <c r="D421" i="15"/>
  <c r="P420" i="15"/>
  <c r="O420" i="15"/>
  <c r="N420" i="15"/>
  <c r="E420" i="15"/>
  <c r="D420" i="15"/>
  <c r="P419" i="15"/>
  <c r="O419" i="15"/>
  <c r="N419" i="15"/>
  <c r="E419" i="15"/>
  <c r="D419" i="15"/>
  <c r="P418" i="15"/>
  <c r="O418" i="15"/>
  <c r="N418" i="15"/>
  <c r="E418" i="15"/>
  <c r="D418" i="15"/>
  <c r="P417" i="15"/>
  <c r="O417" i="15"/>
  <c r="N417" i="15"/>
  <c r="E417" i="15"/>
  <c r="D417" i="15"/>
  <c r="P413" i="15"/>
  <c r="O413" i="15"/>
  <c r="N413" i="15"/>
  <c r="E413" i="15"/>
  <c r="H413" i="15" s="1"/>
  <c r="D413" i="15"/>
  <c r="G413" i="15" s="1"/>
  <c r="P412" i="15"/>
  <c r="O412" i="15"/>
  <c r="N412" i="15"/>
  <c r="E412" i="15"/>
  <c r="D412" i="15"/>
  <c r="P411" i="15"/>
  <c r="O411" i="15"/>
  <c r="N411" i="15"/>
  <c r="E411" i="15"/>
  <c r="D411" i="15"/>
  <c r="P410" i="15"/>
  <c r="O410" i="15"/>
  <c r="N410" i="15"/>
  <c r="E410" i="15"/>
  <c r="D410" i="15"/>
  <c r="P409" i="15"/>
  <c r="O409" i="15"/>
  <c r="N409" i="15"/>
  <c r="D409" i="15"/>
  <c r="P408" i="15"/>
  <c r="O408" i="15"/>
  <c r="N408" i="15"/>
  <c r="E408" i="15"/>
  <c r="D408" i="15"/>
  <c r="P407" i="15"/>
  <c r="O407" i="15"/>
  <c r="N407" i="15"/>
  <c r="E407" i="15"/>
  <c r="D407" i="15"/>
  <c r="P406" i="15"/>
  <c r="O406" i="15"/>
  <c r="N406" i="15"/>
  <c r="E406" i="15"/>
  <c r="D406" i="15"/>
  <c r="P405" i="15"/>
  <c r="O405" i="15"/>
  <c r="N405" i="15"/>
  <c r="E405" i="15"/>
  <c r="D405" i="15"/>
  <c r="P404" i="15"/>
  <c r="O404" i="15"/>
  <c r="N404" i="15"/>
  <c r="E404" i="15"/>
  <c r="D404" i="15"/>
  <c r="P403" i="15"/>
  <c r="O403" i="15"/>
  <c r="N403" i="15"/>
  <c r="E403" i="15"/>
  <c r="D403" i="15"/>
  <c r="P402" i="15"/>
  <c r="O402" i="15"/>
  <c r="N402" i="15"/>
  <c r="E402" i="15"/>
  <c r="D402" i="15"/>
  <c r="P398" i="15"/>
  <c r="O398" i="15"/>
  <c r="N398" i="15"/>
  <c r="H398" i="15"/>
  <c r="G398" i="15"/>
  <c r="F398" i="15"/>
  <c r="P397" i="15"/>
  <c r="O397" i="15"/>
  <c r="N397" i="15"/>
  <c r="H397" i="15"/>
  <c r="G397" i="15"/>
  <c r="F397" i="15"/>
  <c r="P396" i="15"/>
  <c r="O396" i="15"/>
  <c r="N396" i="15"/>
  <c r="H396" i="15"/>
  <c r="G396" i="15"/>
  <c r="F396" i="15"/>
  <c r="P395" i="15"/>
  <c r="O395" i="15"/>
  <c r="N395" i="15"/>
  <c r="H395" i="15"/>
  <c r="G395" i="15"/>
  <c r="F395" i="15"/>
  <c r="P394" i="15"/>
  <c r="O394" i="15"/>
  <c r="N394" i="15"/>
  <c r="G394" i="15"/>
  <c r="E394" i="15"/>
  <c r="H394" i="15" s="1"/>
  <c r="P393" i="15"/>
  <c r="O393" i="15"/>
  <c r="N393" i="15"/>
  <c r="H393" i="15"/>
  <c r="G393" i="15"/>
  <c r="F393" i="15"/>
  <c r="P392" i="15"/>
  <c r="O392" i="15"/>
  <c r="N392" i="15"/>
  <c r="H392" i="15"/>
  <c r="G392" i="15"/>
  <c r="F392" i="15"/>
  <c r="P391" i="15"/>
  <c r="O391" i="15"/>
  <c r="N391" i="15"/>
  <c r="H391" i="15"/>
  <c r="G391" i="15"/>
  <c r="F391" i="15"/>
  <c r="P390" i="15"/>
  <c r="O390" i="15"/>
  <c r="N390" i="15"/>
  <c r="H390" i="15"/>
  <c r="G390" i="15"/>
  <c r="F390" i="15"/>
  <c r="P389" i="15"/>
  <c r="O389" i="15"/>
  <c r="N389" i="15"/>
  <c r="H389" i="15"/>
  <c r="G389" i="15"/>
  <c r="F389" i="15"/>
  <c r="P388" i="15"/>
  <c r="O388" i="15"/>
  <c r="N388" i="15"/>
  <c r="H388" i="15"/>
  <c r="G388" i="15"/>
  <c r="F388" i="15"/>
  <c r="P387" i="15"/>
  <c r="O387" i="15"/>
  <c r="N387" i="15"/>
  <c r="H387" i="15"/>
  <c r="G387" i="15"/>
  <c r="F387" i="15"/>
  <c r="P383" i="15"/>
  <c r="O383" i="15"/>
  <c r="N383" i="15"/>
  <c r="E383" i="15"/>
  <c r="D383" i="15"/>
  <c r="P382" i="15"/>
  <c r="O382" i="15"/>
  <c r="N382" i="15"/>
  <c r="E382" i="15"/>
  <c r="D382" i="15"/>
  <c r="P381" i="15"/>
  <c r="O381" i="15"/>
  <c r="N381" i="15"/>
  <c r="E381" i="15"/>
  <c r="D381" i="15"/>
  <c r="P380" i="15"/>
  <c r="O380" i="15"/>
  <c r="N380" i="15"/>
  <c r="E380" i="15"/>
  <c r="D380" i="15"/>
  <c r="P379" i="15"/>
  <c r="O379" i="15"/>
  <c r="N379" i="15"/>
  <c r="E379" i="15"/>
  <c r="D379" i="15"/>
  <c r="P378" i="15"/>
  <c r="O378" i="15"/>
  <c r="N378" i="15"/>
  <c r="E378" i="15"/>
  <c r="D378" i="15"/>
  <c r="P377" i="15"/>
  <c r="O377" i="15"/>
  <c r="N377" i="15"/>
  <c r="E377" i="15"/>
  <c r="D377" i="15"/>
  <c r="P376" i="15"/>
  <c r="O376" i="15"/>
  <c r="N376" i="15"/>
  <c r="E376" i="15"/>
  <c r="D376" i="15"/>
  <c r="P375" i="15"/>
  <c r="O375" i="15"/>
  <c r="N375" i="15"/>
  <c r="E375" i="15"/>
  <c r="D375" i="15"/>
  <c r="P374" i="15"/>
  <c r="O374" i="15"/>
  <c r="N374" i="15"/>
  <c r="E374" i="15"/>
  <c r="D374" i="15"/>
  <c r="P373" i="15"/>
  <c r="O373" i="15"/>
  <c r="N373" i="15"/>
  <c r="E373" i="15"/>
  <c r="D373" i="15"/>
  <c r="P372" i="15"/>
  <c r="O372" i="15"/>
  <c r="N372" i="15"/>
  <c r="E372" i="15"/>
  <c r="D372" i="15"/>
  <c r="P368" i="15"/>
  <c r="O368" i="15"/>
  <c r="N368" i="15"/>
  <c r="E368" i="15"/>
  <c r="H368" i="15" s="1"/>
  <c r="D368" i="15"/>
  <c r="G368" i="15" s="1"/>
  <c r="P367" i="15"/>
  <c r="O367" i="15"/>
  <c r="N367" i="15"/>
  <c r="E367" i="15"/>
  <c r="D367" i="15"/>
  <c r="P366" i="15"/>
  <c r="O366" i="15"/>
  <c r="N366" i="15"/>
  <c r="P365" i="15"/>
  <c r="O365" i="15"/>
  <c r="N365" i="15"/>
  <c r="E365" i="15"/>
  <c r="D365" i="15"/>
  <c r="P364" i="15"/>
  <c r="O364" i="15"/>
  <c r="N364" i="15"/>
  <c r="E364" i="15"/>
  <c r="D364" i="15"/>
  <c r="P363" i="15"/>
  <c r="O363" i="15"/>
  <c r="N363" i="15"/>
  <c r="E363" i="15"/>
  <c r="D363" i="15"/>
  <c r="P362" i="15"/>
  <c r="O362" i="15"/>
  <c r="N362" i="15"/>
  <c r="E362" i="15"/>
  <c r="D362" i="15"/>
  <c r="P361" i="15"/>
  <c r="O361" i="15"/>
  <c r="N361" i="15"/>
  <c r="E361" i="15"/>
  <c r="D361" i="15"/>
  <c r="P360" i="15"/>
  <c r="O360" i="15"/>
  <c r="N360" i="15"/>
  <c r="E360" i="15"/>
  <c r="D360" i="15"/>
  <c r="P359" i="15"/>
  <c r="O359" i="15"/>
  <c r="N359" i="15"/>
  <c r="E359" i="15"/>
  <c r="D359" i="15"/>
  <c r="P358" i="15"/>
  <c r="O358" i="15"/>
  <c r="N358" i="15"/>
  <c r="E358" i="15"/>
  <c r="D358" i="15"/>
  <c r="O357" i="15"/>
  <c r="M357" i="15"/>
  <c r="E342" i="15" s="1"/>
  <c r="D357" i="15"/>
  <c r="P353" i="15"/>
  <c r="O353" i="15"/>
  <c r="N353" i="15"/>
  <c r="E353" i="15"/>
  <c r="H353" i="15" s="1"/>
  <c r="D353" i="15"/>
  <c r="P352" i="15"/>
  <c r="O352" i="15"/>
  <c r="N352" i="15"/>
  <c r="P351" i="15"/>
  <c r="O351" i="15"/>
  <c r="N351" i="15"/>
  <c r="E351" i="15"/>
  <c r="D351" i="15"/>
  <c r="P350" i="15"/>
  <c r="O350" i="15"/>
  <c r="N350" i="15"/>
  <c r="E350" i="15"/>
  <c r="D350" i="15"/>
  <c r="P349" i="15"/>
  <c r="O349" i="15"/>
  <c r="N349" i="15"/>
  <c r="E349" i="15"/>
  <c r="D349" i="15"/>
  <c r="P348" i="15"/>
  <c r="O348" i="15"/>
  <c r="N348" i="15"/>
  <c r="E348" i="15"/>
  <c r="D348" i="15"/>
  <c r="P347" i="15"/>
  <c r="O347" i="15"/>
  <c r="N347" i="15"/>
  <c r="E347" i="15"/>
  <c r="D347" i="15"/>
  <c r="P346" i="15"/>
  <c r="O346" i="15"/>
  <c r="N346" i="15"/>
  <c r="E346" i="15"/>
  <c r="D346" i="15"/>
  <c r="P345" i="15"/>
  <c r="O345" i="15"/>
  <c r="N345" i="15"/>
  <c r="E345" i="15"/>
  <c r="D345" i="15"/>
  <c r="P344" i="15"/>
  <c r="O344" i="15"/>
  <c r="N344" i="15"/>
  <c r="E344" i="15"/>
  <c r="D344" i="15"/>
  <c r="P343" i="15"/>
  <c r="O343" i="15"/>
  <c r="N343" i="15"/>
  <c r="E343" i="15"/>
  <c r="D343" i="15"/>
  <c r="P342" i="15"/>
  <c r="O342" i="15"/>
  <c r="N342" i="15"/>
  <c r="D342" i="15"/>
  <c r="P338" i="15"/>
  <c r="O338" i="15"/>
  <c r="N338" i="15"/>
  <c r="E338" i="15"/>
  <c r="H337" i="15" s="1"/>
  <c r="D338" i="15"/>
  <c r="G336" i="15" s="1"/>
  <c r="P337" i="15"/>
  <c r="O337" i="15"/>
  <c r="N337" i="15"/>
  <c r="P336" i="15"/>
  <c r="O336" i="15"/>
  <c r="N336" i="15"/>
  <c r="P335" i="15"/>
  <c r="O335" i="15"/>
  <c r="N335" i="15"/>
  <c r="E335" i="15"/>
  <c r="D335" i="15"/>
  <c r="P334" i="15"/>
  <c r="O334" i="15"/>
  <c r="N334" i="15"/>
  <c r="E334" i="15"/>
  <c r="D334" i="15"/>
  <c r="P333" i="15"/>
  <c r="O333" i="15"/>
  <c r="N333" i="15"/>
  <c r="E333" i="15"/>
  <c r="D333" i="15"/>
  <c r="P332" i="15"/>
  <c r="O332" i="15"/>
  <c r="N332" i="15"/>
  <c r="E332" i="15"/>
  <c r="D332" i="15"/>
  <c r="P331" i="15"/>
  <c r="O331" i="15"/>
  <c r="N331" i="15"/>
  <c r="E331" i="15"/>
  <c r="D331" i="15"/>
  <c r="P330" i="15"/>
  <c r="O330" i="15"/>
  <c r="N330" i="15"/>
  <c r="E330" i="15"/>
  <c r="D330" i="15"/>
  <c r="P329" i="15"/>
  <c r="O329" i="15"/>
  <c r="N329" i="15"/>
  <c r="E329" i="15"/>
  <c r="D329" i="15"/>
  <c r="P328" i="15"/>
  <c r="O328" i="15"/>
  <c r="N328" i="15"/>
  <c r="E328" i="15"/>
  <c r="D328" i="15"/>
  <c r="P327" i="15"/>
  <c r="O327" i="15"/>
  <c r="N327" i="15"/>
  <c r="E327" i="15"/>
  <c r="D327" i="15"/>
  <c r="P323" i="15"/>
  <c r="O323" i="15"/>
  <c r="N323" i="15"/>
  <c r="E323" i="15"/>
  <c r="H323" i="15" s="1"/>
  <c r="D323" i="15"/>
  <c r="P322" i="15"/>
  <c r="O322" i="15"/>
  <c r="N322" i="15"/>
  <c r="E322" i="15"/>
  <c r="D322" i="15"/>
  <c r="P321" i="15"/>
  <c r="O321" i="15"/>
  <c r="N321" i="15"/>
  <c r="E321" i="15"/>
  <c r="D321" i="15"/>
  <c r="P320" i="15"/>
  <c r="O320" i="15"/>
  <c r="E320" i="15"/>
  <c r="D320" i="15"/>
  <c r="P319" i="15"/>
  <c r="O319" i="15"/>
  <c r="N319" i="15"/>
  <c r="E319" i="15"/>
  <c r="D319" i="15"/>
  <c r="P318" i="15"/>
  <c r="O318" i="15"/>
  <c r="N318" i="15"/>
  <c r="E318" i="15"/>
  <c r="D318" i="15"/>
  <c r="P317" i="15"/>
  <c r="O317" i="15"/>
  <c r="N317" i="15"/>
  <c r="E317" i="15"/>
  <c r="D317" i="15"/>
  <c r="P316" i="15"/>
  <c r="O316" i="15"/>
  <c r="N316" i="15"/>
  <c r="E316" i="15"/>
  <c r="D316" i="15"/>
  <c r="P315" i="15"/>
  <c r="O315" i="15"/>
  <c r="N315" i="15"/>
  <c r="E315" i="15"/>
  <c r="D315" i="15"/>
  <c r="P314" i="15"/>
  <c r="O314" i="15"/>
  <c r="N314" i="15"/>
  <c r="E314" i="15"/>
  <c r="D314" i="15"/>
  <c r="P313" i="15"/>
  <c r="O313" i="15"/>
  <c r="N313" i="15"/>
  <c r="E313" i="15"/>
  <c r="D313" i="15"/>
  <c r="P312" i="15"/>
  <c r="O312" i="15"/>
  <c r="N312" i="15"/>
  <c r="E312" i="15"/>
  <c r="D312" i="15"/>
  <c r="P308" i="15"/>
  <c r="O308" i="15"/>
  <c r="N308" i="15"/>
  <c r="E308" i="15"/>
  <c r="D308" i="15"/>
  <c r="G291" i="15" s="1"/>
  <c r="P307" i="15"/>
  <c r="O307" i="15"/>
  <c r="N307" i="15"/>
  <c r="E307" i="15"/>
  <c r="D307" i="15"/>
  <c r="P306" i="15"/>
  <c r="O306" i="15"/>
  <c r="N306" i="15"/>
  <c r="E306" i="15"/>
  <c r="D306" i="15"/>
  <c r="P305" i="15"/>
  <c r="O305" i="15"/>
  <c r="E305" i="15"/>
  <c r="D305" i="15"/>
  <c r="P304" i="15"/>
  <c r="O304" i="15"/>
  <c r="N304" i="15"/>
  <c r="E304" i="15"/>
  <c r="D304" i="15"/>
  <c r="P303" i="15"/>
  <c r="O303" i="15"/>
  <c r="N303" i="15"/>
  <c r="E303" i="15"/>
  <c r="D303" i="15"/>
  <c r="P302" i="15"/>
  <c r="O302" i="15"/>
  <c r="N302" i="15"/>
  <c r="E302" i="15"/>
  <c r="D302" i="15"/>
  <c r="P301" i="15"/>
  <c r="O301" i="15"/>
  <c r="N301" i="15"/>
  <c r="E301" i="15"/>
  <c r="D301" i="15"/>
  <c r="P300" i="15"/>
  <c r="O300" i="15"/>
  <c r="N300" i="15"/>
  <c r="E300" i="15"/>
  <c r="D300" i="15"/>
  <c r="P299" i="15"/>
  <c r="O299" i="15"/>
  <c r="N299" i="15"/>
  <c r="E299" i="15"/>
  <c r="D299" i="15"/>
  <c r="P298" i="15"/>
  <c r="O298" i="15"/>
  <c r="N298" i="15"/>
  <c r="E298" i="15"/>
  <c r="D298" i="15"/>
  <c r="P297" i="15"/>
  <c r="O297" i="15"/>
  <c r="N297" i="15"/>
  <c r="E297" i="15"/>
  <c r="D297" i="15"/>
  <c r="P293" i="15"/>
  <c r="O293" i="15"/>
  <c r="N293" i="15"/>
  <c r="E293" i="15"/>
  <c r="D293" i="15"/>
  <c r="P292" i="15"/>
  <c r="O292" i="15"/>
  <c r="N292" i="15"/>
  <c r="E292" i="15"/>
  <c r="P291" i="15"/>
  <c r="O291" i="15"/>
  <c r="N291" i="15"/>
  <c r="E291" i="15"/>
  <c r="P290" i="15"/>
  <c r="O290" i="15"/>
  <c r="N290" i="15"/>
  <c r="E290" i="15"/>
  <c r="D290" i="15"/>
  <c r="P289" i="15"/>
  <c r="O289" i="15"/>
  <c r="E289" i="15"/>
  <c r="D289" i="15"/>
  <c r="P288" i="15"/>
  <c r="O288" i="15"/>
  <c r="N288" i="15"/>
  <c r="E288" i="15"/>
  <c r="D288" i="15"/>
  <c r="P287" i="15"/>
  <c r="O287" i="15"/>
  <c r="N287" i="15"/>
  <c r="E287" i="15"/>
  <c r="D287" i="15"/>
  <c r="P286" i="15"/>
  <c r="O286" i="15"/>
  <c r="N286" i="15"/>
  <c r="E286" i="15"/>
  <c r="D286" i="15"/>
  <c r="P285" i="15"/>
  <c r="O285" i="15"/>
  <c r="N285" i="15"/>
  <c r="E285" i="15"/>
  <c r="D285" i="15"/>
  <c r="P284" i="15"/>
  <c r="O284" i="15"/>
  <c r="N284" i="15"/>
  <c r="E284" i="15"/>
  <c r="D284" i="15"/>
  <c r="P283" i="15"/>
  <c r="O283" i="15"/>
  <c r="N283" i="15"/>
  <c r="E283" i="15"/>
  <c r="D283" i="15"/>
  <c r="P282" i="15"/>
  <c r="O282" i="15"/>
  <c r="N282" i="15"/>
  <c r="E282" i="15"/>
  <c r="D282" i="15"/>
  <c r="E248" i="15"/>
  <c r="D248" i="15"/>
  <c r="E245" i="15"/>
  <c r="D245" i="15"/>
  <c r="E244" i="15"/>
  <c r="D244" i="15"/>
  <c r="D35" i="15" s="1"/>
  <c r="E243" i="15"/>
  <c r="D243" i="15"/>
  <c r="D36" i="15" s="1"/>
  <c r="E242" i="15"/>
  <c r="D242" i="15"/>
  <c r="D31" i="15" s="1"/>
  <c r="E241" i="15"/>
  <c r="D241" i="15"/>
  <c r="D32" i="15" s="1"/>
  <c r="E240" i="15"/>
  <c r="D240" i="15"/>
  <c r="D30" i="15" s="1"/>
  <c r="E239" i="15"/>
  <c r="D239" i="15"/>
  <c r="D29" i="15" s="1"/>
  <c r="E238" i="15"/>
  <c r="D238" i="15"/>
  <c r="D28" i="15" s="1"/>
  <c r="E237" i="15"/>
  <c r="D237" i="15"/>
  <c r="D27" i="15" s="1"/>
  <c r="O697" i="14"/>
  <c r="O696" i="14"/>
  <c r="O695" i="14"/>
  <c r="O694" i="14"/>
  <c r="O693" i="14"/>
  <c r="O692" i="14"/>
  <c r="O691" i="14"/>
  <c r="O690" i="14"/>
  <c r="O689" i="14"/>
  <c r="O688" i="14"/>
  <c r="O687" i="14"/>
  <c r="O686" i="14"/>
  <c r="N663" i="14"/>
  <c r="H663" i="14"/>
  <c r="G663" i="14"/>
  <c r="F663" i="14"/>
  <c r="H662" i="14"/>
  <c r="G662" i="14"/>
  <c r="F662" i="14"/>
  <c r="H661" i="14"/>
  <c r="G661" i="14"/>
  <c r="F661" i="14"/>
  <c r="H660" i="14"/>
  <c r="G660" i="14"/>
  <c r="F660" i="14"/>
  <c r="H659" i="14"/>
  <c r="G659" i="14"/>
  <c r="F659" i="14"/>
  <c r="H658" i="14"/>
  <c r="G658" i="14"/>
  <c r="F658" i="14"/>
  <c r="H657" i="14"/>
  <c r="G657" i="14"/>
  <c r="F657" i="14"/>
  <c r="H656" i="14"/>
  <c r="G656" i="14"/>
  <c r="F656" i="14"/>
  <c r="H655" i="14"/>
  <c r="G655" i="14"/>
  <c r="F655" i="14"/>
  <c r="H654" i="14"/>
  <c r="G654" i="14"/>
  <c r="F654" i="14"/>
  <c r="H653" i="14"/>
  <c r="G653" i="14"/>
  <c r="F653" i="14"/>
  <c r="H652" i="14"/>
  <c r="G652" i="14"/>
  <c r="F652" i="14"/>
  <c r="H646" i="14"/>
  <c r="G646" i="14"/>
  <c r="F646" i="14"/>
  <c r="H645" i="14"/>
  <c r="G645" i="14"/>
  <c r="F645" i="14"/>
  <c r="H644" i="14"/>
  <c r="G644" i="14"/>
  <c r="F644" i="14"/>
  <c r="H643" i="14"/>
  <c r="G643" i="14"/>
  <c r="F643" i="14"/>
  <c r="H642" i="14"/>
  <c r="G642" i="14"/>
  <c r="F642" i="14"/>
  <c r="H641" i="14"/>
  <c r="G641" i="14"/>
  <c r="F641" i="14"/>
  <c r="H640" i="14"/>
  <c r="G640" i="14"/>
  <c r="F640" i="14"/>
  <c r="H639" i="14"/>
  <c r="G639" i="14"/>
  <c r="F639" i="14"/>
  <c r="H638" i="14"/>
  <c r="G638" i="14"/>
  <c r="F638" i="14"/>
  <c r="H637" i="14"/>
  <c r="G637" i="14"/>
  <c r="F637" i="14"/>
  <c r="H636" i="14"/>
  <c r="G636" i="14"/>
  <c r="F636" i="14"/>
  <c r="H635" i="14"/>
  <c r="G635" i="14"/>
  <c r="F635" i="14"/>
  <c r="M629" i="14"/>
  <c r="H629" i="14"/>
  <c r="G629" i="14"/>
  <c r="F629" i="14"/>
  <c r="H628" i="14"/>
  <c r="G628" i="14"/>
  <c r="F628" i="14"/>
  <c r="H627" i="14"/>
  <c r="G627" i="14"/>
  <c r="F627" i="14"/>
  <c r="H626" i="14"/>
  <c r="G626" i="14"/>
  <c r="F626" i="14"/>
  <c r="H625" i="14"/>
  <c r="G625" i="14"/>
  <c r="F625" i="14"/>
  <c r="H624" i="14"/>
  <c r="G624" i="14"/>
  <c r="F624" i="14"/>
  <c r="H623" i="14"/>
  <c r="G623" i="14"/>
  <c r="F623" i="14"/>
  <c r="H622" i="14"/>
  <c r="G622" i="14"/>
  <c r="F622" i="14"/>
  <c r="H621" i="14"/>
  <c r="G621" i="14"/>
  <c r="F621" i="14"/>
  <c r="H620" i="14"/>
  <c r="G620" i="14"/>
  <c r="F620" i="14"/>
  <c r="H619" i="14"/>
  <c r="G619" i="14"/>
  <c r="F619" i="14"/>
  <c r="H618" i="14"/>
  <c r="G618" i="14"/>
  <c r="F618" i="14"/>
  <c r="M612" i="14"/>
  <c r="N612" i="14" s="1"/>
  <c r="D612" i="14"/>
  <c r="G608" i="14" s="1"/>
  <c r="E611" i="14"/>
  <c r="D611" i="14"/>
  <c r="E610" i="14"/>
  <c r="D610" i="14"/>
  <c r="F609" i="14"/>
  <c r="F608" i="14"/>
  <c r="F607" i="14"/>
  <c r="F606" i="14"/>
  <c r="E605" i="14"/>
  <c r="D605" i="14"/>
  <c r="E604" i="14"/>
  <c r="D604" i="14"/>
  <c r="E603" i="14"/>
  <c r="D603" i="14"/>
  <c r="E602" i="14"/>
  <c r="D602" i="14"/>
  <c r="E601" i="14"/>
  <c r="D601" i="14"/>
  <c r="N595" i="14"/>
  <c r="D595" i="14"/>
  <c r="E594" i="14"/>
  <c r="D594" i="14"/>
  <c r="E593" i="14"/>
  <c r="D593" i="14"/>
  <c r="E592" i="14"/>
  <c r="D592" i="14"/>
  <c r="E591" i="14"/>
  <c r="D591" i="14"/>
  <c r="E590" i="14"/>
  <c r="D590" i="14"/>
  <c r="E589" i="14"/>
  <c r="D589" i="14"/>
  <c r="E588" i="14"/>
  <c r="D588" i="14"/>
  <c r="E587" i="14"/>
  <c r="D587" i="14"/>
  <c r="E584" i="14"/>
  <c r="D584" i="14"/>
  <c r="E578" i="14"/>
  <c r="H578" i="14" s="1"/>
  <c r="D578" i="14"/>
  <c r="G578" i="14" s="1"/>
  <c r="E577" i="14"/>
  <c r="D577" i="14"/>
  <c r="E576" i="14"/>
  <c r="D576" i="14"/>
  <c r="E575" i="14"/>
  <c r="D575" i="14"/>
  <c r="E574" i="14"/>
  <c r="D574" i="14"/>
  <c r="E573" i="14"/>
  <c r="D573" i="14"/>
  <c r="E572" i="14"/>
  <c r="D572" i="14"/>
  <c r="E571" i="14"/>
  <c r="D571" i="14"/>
  <c r="E570" i="14"/>
  <c r="D570" i="14"/>
  <c r="E569" i="14"/>
  <c r="D569" i="14"/>
  <c r="E568" i="14"/>
  <c r="D568" i="14"/>
  <c r="O567" i="14"/>
  <c r="E567" i="14"/>
  <c r="D567" i="14"/>
  <c r="H561" i="14"/>
  <c r="G561" i="14"/>
  <c r="H560" i="14"/>
  <c r="G560" i="14"/>
  <c r="H559" i="14"/>
  <c r="G559" i="14"/>
  <c r="H558" i="14"/>
  <c r="G558" i="14"/>
  <c r="H557" i="14"/>
  <c r="G557" i="14"/>
  <c r="H556" i="14"/>
  <c r="G556" i="14"/>
  <c r="H555" i="14"/>
  <c r="G555" i="14"/>
  <c r="H554" i="14"/>
  <c r="G554" i="14"/>
  <c r="H553" i="14"/>
  <c r="G553" i="14"/>
  <c r="H552" i="14"/>
  <c r="G552" i="14"/>
  <c r="H551" i="14"/>
  <c r="G551" i="14"/>
  <c r="O550" i="14"/>
  <c r="H550" i="14"/>
  <c r="G550" i="14"/>
  <c r="E544" i="14"/>
  <c r="D544" i="14"/>
  <c r="G544" i="14" s="1"/>
  <c r="E543" i="14"/>
  <c r="D543" i="14"/>
  <c r="E542" i="14"/>
  <c r="D542" i="14"/>
  <c r="E541" i="14"/>
  <c r="D541" i="14"/>
  <c r="E540" i="14"/>
  <c r="D540" i="14"/>
  <c r="E539" i="14"/>
  <c r="D539" i="14"/>
  <c r="E538" i="14"/>
  <c r="D538" i="14"/>
  <c r="E537" i="14"/>
  <c r="D537" i="14"/>
  <c r="E536" i="14"/>
  <c r="D536" i="14"/>
  <c r="E535" i="14"/>
  <c r="D535" i="14"/>
  <c r="E534" i="14"/>
  <c r="D534" i="14"/>
  <c r="E533" i="14"/>
  <c r="D533" i="14"/>
  <c r="E527" i="14"/>
  <c r="H527" i="14" s="1"/>
  <c r="D527" i="14"/>
  <c r="E526" i="14"/>
  <c r="D526" i="14"/>
  <c r="E525" i="14"/>
  <c r="D525" i="14"/>
  <c r="E524" i="14"/>
  <c r="D524" i="14"/>
  <c r="E523" i="14"/>
  <c r="D523" i="14"/>
  <c r="E522" i="14"/>
  <c r="D522" i="14"/>
  <c r="E521" i="14"/>
  <c r="D521" i="14"/>
  <c r="E520" i="14"/>
  <c r="D520" i="14"/>
  <c r="E519" i="14"/>
  <c r="D519" i="14"/>
  <c r="E518" i="14"/>
  <c r="D518" i="14"/>
  <c r="E517" i="14"/>
  <c r="D517" i="14"/>
  <c r="E516" i="14"/>
  <c r="D516" i="14"/>
  <c r="N510" i="14"/>
  <c r="E510" i="14"/>
  <c r="H509" i="14" s="1"/>
  <c r="D510" i="14"/>
  <c r="O509" i="14"/>
  <c r="N509" i="14"/>
  <c r="F509" i="14"/>
  <c r="O508" i="14"/>
  <c r="N508" i="14"/>
  <c r="E508" i="14"/>
  <c r="D508" i="14"/>
  <c r="O507" i="14"/>
  <c r="N507" i="14"/>
  <c r="E507" i="14"/>
  <c r="D507" i="14"/>
  <c r="O506" i="14"/>
  <c r="N506" i="14"/>
  <c r="E506" i="14"/>
  <c r="D506" i="14"/>
  <c r="O505" i="14"/>
  <c r="N505" i="14"/>
  <c r="E505" i="14"/>
  <c r="D505" i="14"/>
  <c r="O504" i="14"/>
  <c r="N504" i="14"/>
  <c r="E504" i="14"/>
  <c r="D504" i="14"/>
  <c r="N503" i="14"/>
  <c r="E503" i="14"/>
  <c r="D503" i="14"/>
  <c r="O502" i="14"/>
  <c r="N502" i="14"/>
  <c r="E502" i="14"/>
  <c r="D502" i="14"/>
  <c r="O501" i="14"/>
  <c r="N501" i="14"/>
  <c r="E501" i="14"/>
  <c r="D501" i="14"/>
  <c r="N500" i="14"/>
  <c r="E500" i="14"/>
  <c r="D500" i="14"/>
  <c r="N499" i="14"/>
  <c r="E499" i="14"/>
  <c r="D499" i="14"/>
  <c r="P493" i="14"/>
  <c r="O493" i="14"/>
  <c r="N493" i="14"/>
  <c r="E493" i="14"/>
  <c r="H493" i="14" s="1"/>
  <c r="D493" i="14"/>
  <c r="G493" i="14" s="1"/>
  <c r="P492" i="14"/>
  <c r="O492" i="14"/>
  <c r="E492" i="14"/>
  <c r="D492" i="14"/>
  <c r="P491" i="14"/>
  <c r="O491" i="14"/>
  <c r="E491" i="14"/>
  <c r="D491" i="14"/>
  <c r="P490" i="14"/>
  <c r="O490" i="14"/>
  <c r="E490" i="14"/>
  <c r="D490" i="14"/>
  <c r="P489" i="14"/>
  <c r="O489" i="14"/>
  <c r="E489" i="14"/>
  <c r="D489" i="14"/>
  <c r="P488" i="14"/>
  <c r="O488" i="14"/>
  <c r="E488" i="14"/>
  <c r="D488" i="14"/>
  <c r="P487" i="14"/>
  <c r="O487" i="14"/>
  <c r="N487" i="14"/>
  <c r="E487" i="14"/>
  <c r="D487" i="14"/>
  <c r="P486" i="14"/>
  <c r="O486" i="14"/>
  <c r="E486" i="14"/>
  <c r="D486" i="14"/>
  <c r="P485" i="14"/>
  <c r="O485" i="14"/>
  <c r="E485" i="14"/>
  <c r="D485" i="14"/>
  <c r="P484" i="14"/>
  <c r="O484" i="14"/>
  <c r="N484" i="14"/>
  <c r="E484" i="14"/>
  <c r="D484" i="14"/>
  <c r="P483" i="14"/>
  <c r="O483" i="14"/>
  <c r="E483" i="14"/>
  <c r="D483" i="14"/>
  <c r="P482" i="14"/>
  <c r="O482" i="14"/>
  <c r="N482" i="14"/>
  <c r="E482" i="14"/>
  <c r="D482" i="14"/>
  <c r="P476" i="14"/>
  <c r="O476" i="14"/>
  <c r="N476" i="14"/>
  <c r="H476" i="14"/>
  <c r="G476" i="14"/>
  <c r="F476" i="14"/>
  <c r="O475" i="14"/>
  <c r="G475" i="14"/>
  <c r="O474" i="14"/>
  <c r="M474" i="14"/>
  <c r="E456" i="14" s="1"/>
  <c r="G474" i="14"/>
  <c r="E474" i="14"/>
  <c r="H474" i="14" s="1"/>
  <c r="O473" i="14"/>
  <c r="M473" i="14"/>
  <c r="E457" i="14" s="1"/>
  <c r="G473" i="14"/>
  <c r="E473" i="14"/>
  <c r="H473" i="14" s="1"/>
  <c r="O472" i="14"/>
  <c r="M472" i="14"/>
  <c r="E455" i="14" s="1"/>
  <c r="G472" i="14"/>
  <c r="E472" i="14"/>
  <c r="H472" i="14" s="1"/>
  <c r="O471" i="14"/>
  <c r="M471" i="14"/>
  <c r="E454" i="14" s="1"/>
  <c r="G471" i="14"/>
  <c r="E471" i="14"/>
  <c r="H471" i="14" s="1"/>
  <c r="O470" i="14"/>
  <c r="M470" i="14"/>
  <c r="P470" i="14" s="1"/>
  <c r="G470" i="14"/>
  <c r="E470" i="14"/>
  <c r="H470" i="14" s="1"/>
  <c r="O469" i="14"/>
  <c r="M469" i="14"/>
  <c r="P469" i="14" s="1"/>
  <c r="G469" i="14"/>
  <c r="E469" i="14"/>
  <c r="H469" i="14" s="1"/>
  <c r="O468" i="14"/>
  <c r="M468" i="14"/>
  <c r="P468" i="14" s="1"/>
  <c r="G468" i="14"/>
  <c r="E468" i="14"/>
  <c r="H468" i="14" s="1"/>
  <c r="O467" i="14"/>
  <c r="M467" i="14"/>
  <c r="P467" i="14" s="1"/>
  <c r="G467" i="14"/>
  <c r="E467" i="14"/>
  <c r="H467" i="14" s="1"/>
  <c r="O466" i="14"/>
  <c r="M466" i="14"/>
  <c r="P466" i="14" s="1"/>
  <c r="G466" i="14"/>
  <c r="E466" i="14"/>
  <c r="O465" i="14"/>
  <c r="M465" i="14"/>
  <c r="G465" i="14"/>
  <c r="E465" i="14"/>
  <c r="H465" i="14" s="1"/>
  <c r="P459" i="14"/>
  <c r="O459" i="14"/>
  <c r="N459" i="14"/>
  <c r="E459" i="14"/>
  <c r="H459" i="14" s="1"/>
  <c r="D459" i="14"/>
  <c r="P458" i="14"/>
  <c r="O458" i="14"/>
  <c r="N458" i="14"/>
  <c r="P457" i="14"/>
  <c r="O457" i="14"/>
  <c r="N457" i="14"/>
  <c r="D457" i="14"/>
  <c r="P456" i="14"/>
  <c r="O456" i="14"/>
  <c r="N456" i="14"/>
  <c r="D456" i="14"/>
  <c r="P455" i="14"/>
  <c r="O455" i="14"/>
  <c r="N455" i="14"/>
  <c r="D455" i="14"/>
  <c r="P454" i="14"/>
  <c r="O454" i="14"/>
  <c r="N454" i="14"/>
  <c r="D454" i="14"/>
  <c r="P453" i="14"/>
  <c r="O453" i="14"/>
  <c r="N453" i="14"/>
  <c r="D453" i="14"/>
  <c r="P452" i="14"/>
  <c r="O452" i="14"/>
  <c r="N452" i="14"/>
  <c r="D452" i="14"/>
  <c r="P451" i="14"/>
  <c r="O451" i="14"/>
  <c r="N451" i="14"/>
  <c r="D451" i="14"/>
  <c r="P450" i="14"/>
  <c r="O450" i="14"/>
  <c r="N450" i="14"/>
  <c r="D450" i="14"/>
  <c r="P449" i="14"/>
  <c r="O449" i="14"/>
  <c r="N449" i="14"/>
  <c r="D449" i="14"/>
  <c r="P448" i="14"/>
  <c r="O448" i="14"/>
  <c r="N448" i="14"/>
  <c r="D448" i="14"/>
  <c r="P442" i="14"/>
  <c r="O442" i="14"/>
  <c r="N442" i="14"/>
  <c r="E442" i="14"/>
  <c r="H442" i="14" s="1"/>
  <c r="D442" i="14"/>
  <c r="G442" i="14" s="1"/>
  <c r="O441" i="14"/>
  <c r="D441" i="14"/>
  <c r="O440" i="14"/>
  <c r="M440" i="14"/>
  <c r="E440" i="14" s="1"/>
  <c r="D440" i="14"/>
  <c r="P439" i="14"/>
  <c r="O439" i="14"/>
  <c r="N439" i="14"/>
  <c r="E439" i="14"/>
  <c r="D439" i="14"/>
  <c r="P438" i="14"/>
  <c r="O438" i="14"/>
  <c r="N438" i="14"/>
  <c r="E438" i="14"/>
  <c r="D438" i="14"/>
  <c r="P437" i="14"/>
  <c r="O437" i="14"/>
  <c r="N437" i="14"/>
  <c r="E437" i="14"/>
  <c r="D437" i="14"/>
  <c r="P436" i="14"/>
  <c r="O436" i="14"/>
  <c r="N436" i="14"/>
  <c r="E436" i="14"/>
  <c r="D436" i="14"/>
  <c r="P435" i="14"/>
  <c r="O435" i="14"/>
  <c r="N435" i="14"/>
  <c r="E435" i="14"/>
  <c r="D435" i="14"/>
  <c r="P434" i="14"/>
  <c r="O434" i="14"/>
  <c r="N434" i="14"/>
  <c r="E434" i="14"/>
  <c r="D434" i="14"/>
  <c r="P433" i="14"/>
  <c r="O433" i="14"/>
  <c r="N433" i="14"/>
  <c r="E433" i="14"/>
  <c r="D433" i="14"/>
  <c r="P432" i="14"/>
  <c r="O432" i="14"/>
  <c r="N432" i="14"/>
  <c r="E432" i="14"/>
  <c r="D432" i="14"/>
  <c r="P431" i="14"/>
  <c r="O431" i="14"/>
  <c r="N431" i="14"/>
  <c r="E431" i="14"/>
  <c r="D431" i="14"/>
  <c r="P425" i="14"/>
  <c r="O425" i="14"/>
  <c r="N425" i="14"/>
  <c r="H425" i="14"/>
  <c r="F425" i="14"/>
  <c r="P424" i="14"/>
  <c r="O424" i="14"/>
  <c r="N424" i="14"/>
  <c r="H424" i="14"/>
  <c r="F424" i="14"/>
  <c r="P423" i="14"/>
  <c r="O423" i="14"/>
  <c r="H423" i="14"/>
  <c r="F423" i="14"/>
  <c r="P422" i="14"/>
  <c r="O422" i="14"/>
  <c r="N422" i="14"/>
  <c r="H422" i="14"/>
  <c r="F422" i="14"/>
  <c r="P421" i="14"/>
  <c r="O421" i="14"/>
  <c r="N421" i="14"/>
  <c r="H421" i="14"/>
  <c r="F421" i="14"/>
  <c r="P420" i="14"/>
  <c r="O420" i="14"/>
  <c r="N420" i="14"/>
  <c r="H420" i="14"/>
  <c r="F420" i="14"/>
  <c r="P419" i="14"/>
  <c r="O419" i="14"/>
  <c r="N419" i="14"/>
  <c r="H419" i="14"/>
  <c r="F419" i="14"/>
  <c r="P418" i="14"/>
  <c r="O418" i="14"/>
  <c r="N418" i="14"/>
  <c r="H418" i="14"/>
  <c r="F418" i="14"/>
  <c r="P417" i="14"/>
  <c r="O417" i="14"/>
  <c r="N417" i="14"/>
  <c r="H417" i="14"/>
  <c r="F417" i="14"/>
  <c r="P416" i="14"/>
  <c r="O416" i="14"/>
  <c r="N416" i="14"/>
  <c r="H416" i="14"/>
  <c r="F416" i="14"/>
  <c r="P415" i="14"/>
  <c r="O415" i="14"/>
  <c r="N415" i="14"/>
  <c r="H415" i="14"/>
  <c r="F415" i="14"/>
  <c r="P414" i="14"/>
  <c r="O414" i="14"/>
  <c r="N414" i="14"/>
  <c r="H414" i="14"/>
  <c r="F414" i="14"/>
  <c r="P408" i="14"/>
  <c r="O408" i="14"/>
  <c r="N408" i="14"/>
  <c r="E408" i="14"/>
  <c r="H408" i="14" s="1"/>
  <c r="D408" i="14"/>
  <c r="G408" i="14" s="1"/>
  <c r="P407" i="14"/>
  <c r="O407" i="14"/>
  <c r="N407" i="14"/>
  <c r="E407" i="14"/>
  <c r="D407" i="14"/>
  <c r="P406" i="14"/>
  <c r="O406" i="14"/>
  <c r="N406" i="14"/>
  <c r="E406" i="14"/>
  <c r="D406" i="14"/>
  <c r="P405" i="14"/>
  <c r="O405" i="14"/>
  <c r="N405" i="14"/>
  <c r="E405" i="14"/>
  <c r="D405" i="14"/>
  <c r="P404" i="14"/>
  <c r="O404" i="14"/>
  <c r="N404" i="14"/>
  <c r="E404" i="14"/>
  <c r="D404" i="14"/>
  <c r="P403" i="14"/>
  <c r="O403" i="14"/>
  <c r="N403" i="14"/>
  <c r="P402" i="14"/>
  <c r="O402" i="14"/>
  <c r="N402" i="14"/>
  <c r="P401" i="14"/>
  <c r="O401" i="14"/>
  <c r="N401" i="14"/>
  <c r="P400" i="14"/>
  <c r="O400" i="14"/>
  <c r="N400" i="14"/>
  <c r="P399" i="14"/>
  <c r="O399" i="14"/>
  <c r="N399" i="14"/>
  <c r="E399" i="14"/>
  <c r="D399" i="14"/>
  <c r="P398" i="14"/>
  <c r="O398" i="14"/>
  <c r="N398" i="14"/>
  <c r="E398" i="14"/>
  <c r="D398" i="14"/>
  <c r="P397" i="14"/>
  <c r="O397" i="14"/>
  <c r="N397" i="14"/>
  <c r="E397" i="14"/>
  <c r="D397" i="14"/>
  <c r="P391" i="14"/>
  <c r="O391" i="14"/>
  <c r="N391" i="14"/>
  <c r="E391" i="14"/>
  <c r="D391" i="14"/>
  <c r="G391" i="14" s="1"/>
  <c r="P390" i="14"/>
  <c r="O390" i="14"/>
  <c r="N390" i="14"/>
  <c r="E390" i="14"/>
  <c r="D390" i="14"/>
  <c r="P389" i="14"/>
  <c r="O389" i="14"/>
  <c r="N389" i="14"/>
  <c r="E389" i="14"/>
  <c r="D389" i="14"/>
  <c r="P388" i="14"/>
  <c r="O388" i="14"/>
  <c r="N388" i="14"/>
  <c r="E388" i="14"/>
  <c r="D388" i="14"/>
  <c r="P387" i="14"/>
  <c r="O387" i="14"/>
  <c r="N387" i="14"/>
  <c r="E387" i="14"/>
  <c r="D387" i="14"/>
  <c r="P386" i="14"/>
  <c r="O386" i="14"/>
  <c r="N386" i="14"/>
  <c r="E386" i="14"/>
  <c r="D386" i="14"/>
  <c r="P385" i="14"/>
  <c r="O385" i="14"/>
  <c r="N385" i="14"/>
  <c r="E385" i="14"/>
  <c r="D385" i="14"/>
  <c r="P384" i="14"/>
  <c r="O384" i="14"/>
  <c r="N384" i="14"/>
  <c r="E384" i="14"/>
  <c r="D384" i="14"/>
  <c r="P383" i="14"/>
  <c r="O383" i="14"/>
  <c r="N383" i="14"/>
  <c r="E383" i="14"/>
  <c r="D383" i="14"/>
  <c r="P382" i="14"/>
  <c r="O382" i="14"/>
  <c r="N382" i="14"/>
  <c r="E382" i="14"/>
  <c r="D382" i="14"/>
  <c r="P381" i="14"/>
  <c r="O381" i="14"/>
  <c r="N381" i="14"/>
  <c r="E381" i="14"/>
  <c r="D381" i="14"/>
  <c r="P380" i="14"/>
  <c r="O380" i="14"/>
  <c r="N380" i="14"/>
  <c r="E380" i="14"/>
  <c r="D380" i="14"/>
  <c r="P373" i="14"/>
  <c r="O373" i="14"/>
  <c r="N373" i="14"/>
  <c r="E373" i="14"/>
  <c r="D373" i="14"/>
  <c r="G373" i="14" s="1"/>
  <c r="P372" i="14"/>
  <c r="O372" i="14"/>
  <c r="N372" i="14"/>
  <c r="P371" i="14"/>
  <c r="O371" i="14"/>
  <c r="N371" i="14"/>
  <c r="E371" i="14"/>
  <c r="D371" i="14"/>
  <c r="P370" i="14"/>
  <c r="O370" i="14"/>
  <c r="N370" i="14"/>
  <c r="E370" i="14"/>
  <c r="D370" i="14"/>
  <c r="P369" i="14"/>
  <c r="O369" i="14"/>
  <c r="N369" i="14"/>
  <c r="E369" i="14"/>
  <c r="D369" i="14"/>
  <c r="P368" i="14"/>
  <c r="O368" i="14"/>
  <c r="N368" i="14"/>
  <c r="E368" i="14"/>
  <c r="D368" i="14"/>
  <c r="P367" i="14"/>
  <c r="O367" i="14"/>
  <c r="N367" i="14"/>
  <c r="E367" i="14"/>
  <c r="D367" i="14"/>
  <c r="P366" i="14"/>
  <c r="O366" i="14"/>
  <c r="N366" i="14"/>
  <c r="E366" i="14"/>
  <c r="D366" i="14"/>
  <c r="P365" i="14"/>
  <c r="O365" i="14"/>
  <c r="N365" i="14"/>
  <c r="E365" i="14"/>
  <c r="D365" i="14"/>
  <c r="P364" i="14"/>
  <c r="O364" i="14"/>
  <c r="N364" i="14"/>
  <c r="E364" i="14"/>
  <c r="D364" i="14"/>
  <c r="P363" i="14"/>
  <c r="O363" i="14"/>
  <c r="N363" i="14"/>
  <c r="E363" i="14"/>
  <c r="D363" i="14"/>
  <c r="P362" i="14"/>
  <c r="O362" i="14"/>
  <c r="N362" i="14"/>
  <c r="E362" i="14"/>
  <c r="D362" i="14"/>
  <c r="P355" i="14"/>
  <c r="O355" i="14"/>
  <c r="N355" i="14"/>
  <c r="E355" i="14"/>
  <c r="H355" i="14" s="1"/>
  <c r="D355" i="14"/>
  <c r="P354" i="14"/>
  <c r="O354" i="14"/>
  <c r="N354" i="14"/>
  <c r="E354" i="14"/>
  <c r="D354" i="14"/>
  <c r="P353" i="14"/>
  <c r="O353" i="14"/>
  <c r="N353" i="14"/>
  <c r="E353" i="14"/>
  <c r="D353" i="14"/>
  <c r="P352" i="14"/>
  <c r="O352" i="14"/>
  <c r="N352" i="14"/>
  <c r="E352" i="14"/>
  <c r="D352" i="14"/>
  <c r="P351" i="14"/>
  <c r="O351" i="14"/>
  <c r="N351" i="14"/>
  <c r="E351" i="14"/>
  <c r="D351" i="14"/>
  <c r="P350" i="14"/>
  <c r="O350" i="14"/>
  <c r="N350" i="14"/>
  <c r="E350" i="14"/>
  <c r="D350" i="14"/>
  <c r="P349" i="14"/>
  <c r="O349" i="14"/>
  <c r="N349" i="14"/>
  <c r="E349" i="14"/>
  <c r="D349" i="14"/>
  <c r="P348" i="14"/>
  <c r="O348" i="14"/>
  <c r="N348" i="14"/>
  <c r="E348" i="14"/>
  <c r="D348" i="14"/>
  <c r="P347" i="14"/>
  <c r="O347" i="14"/>
  <c r="N347" i="14"/>
  <c r="E347" i="14"/>
  <c r="D347" i="14"/>
  <c r="P346" i="14"/>
  <c r="O346" i="14"/>
  <c r="N346" i="14"/>
  <c r="E346" i="14"/>
  <c r="D346" i="14"/>
  <c r="P345" i="14"/>
  <c r="O345" i="14"/>
  <c r="N345" i="14"/>
  <c r="E345" i="14"/>
  <c r="D345" i="14"/>
  <c r="P344" i="14"/>
  <c r="O344" i="14"/>
  <c r="N344" i="14"/>
  <c r="E344" i="14"/>
  <c r="D344" i="14"/>
  <c r="P337" i="14"/>
  <c r="O337" i="14"/>
  <c r="N337" i="14"/>
  <c r="H337" i="14"/>
  <c r="D337" i="14"/>
  <c r="P336" i="14"/>
  <c r="O336" i="14"/>
  <c r="N336" i="14"/>
  <c r="H336" i="14"/>
  <c r="P335" i="14"/>
  <c r="O335" i="14"/>
  <c r="N335" i="14"/>
  <c r="H335" i="14"/>
  <c r="D335" i="14"/>
  <c r="P334" i="14"/>
  <c r="O334" i="14"/>
  <c r="N334" i="14"/>
  <c r="H334" i="14"/>
  <c r="D334" i="14"/>
  <c r="P333" i="14"/>
  <c r="O333" i="14"/>
  <c r="N333" i="14"/>
  <c r="H333" i="14"/>
  <c r="D333" i="14"/>
  <c r="P332" i="14"/>
  <c r="O332" i="14"/>
  <c r="N332" i="14"/>
  <c r="H332" i="14"/>
  <c r="D332" i="14"/>
  <c r="F332" i="14" s="1"/>
  <c r="P331" i="14"/>
  <c r="O331" i="14"/>
  <c r="N331" i="14"/>
  <c r="H331" i="14"/>
  <c r="D331" i="14"/>
  <c r="P330" i="14"/>
  <c r="O330" i="14"/>
  <c r="N330" i="14"/>
  <c r="H330" i="14"/>
  <c r="D330" i="14"/>
  <c r="P329" i="14"/>
  <c r="O329" i="14"/>
  <c r="N329" i="14"/>
  <c r="H329" i="14"/>
  <c r="D329" i="14"/>
  <c r="P328" i="14"/>
  <c r="O328" i="14"/>
  <c r="N328" i="14"/>
  <c r="H328" i="14"/>
  <c r="D328" i="14"/>
  <c r="P327" i="14"/>
  <c r="O327" i="14"/>
  <c r="N327" i="14"/>
  <c r="H327" i="14"/>
  <c r="D327" i="14"/>
  <c r="F327" i="14" s="1"/>
  <c r="P326" i="14"/>
  <c r="O326" i="14"/>
  <c r="N326" i="14"/>
  <c r="H326" i="14"/>
  <c r="D326" i="14"/>
  <c r="F326" i="14" s="1"/>
  <c r="P319" i="14"/>
  <c r="O319" i="14"/>
  <c r="N319" i="14"/>
  <c r="H319" i="14"/>
  <c r="D319" i="14"/>
  <c r="P318" i="14"/>
  <c r="O318" i="14"/>
  <c r="N318" i="14"/>
  <c r="H318" i="14"/>
  <c r="D318" i="14"/>
  <c r="P317" i="14"/>
  <c r="O317" i="14"/>
  <c r="N317" i="14"/>
  <c r="H317" i="14"/>
  <c r="D317" i="14"/>
  <c r="P316" i="14"/>
  <c r="O316" i="14"/>
  <c r="N316" i="14"/>
  <c r="H316" i="14"/>
  <c r="D316" i="14"/>
  <c r="P315" i="14"/>
  <c r="O315" i="14"/>
  <c r="N315" i="14"/>
  <c r="H315" i="14"/>
  <c r="D315" i="14"/>
  <c r="F315" i="14" s="1"/>
  <c r="P314" i="14"/>
  <c r="O314" i="14"/>
  <c r="N314" i="14"/>
  <c r="H314" i="14"/>
  <c r="D314" i="14"/>
  <c r="F314" i="14" s="1"/>
  <c r="P313" i="14"/>
  <c r="O313" i="14"/>
  <c r="N313" i="14"/>
  <c r="H313" i="14"/>
  <c r="D313" i="14"/>
  <c r="P312" i="14"/>
  <c r="O312" i="14"/>
  <c r="N312" i="14"/>
  <c r="H312" i="14"/>
  <c r="D312" i="14"/>
  <c r="F312" i="14" s="1"/>
  <c r="P311" i="14"/>
  <c r="O311" i="14"/>
  <c r="N311" i="14"/>
  <c r="H311" i="14"/>
  <c r="D311" i="14"/>
  <c r="P310" i="14"/>
  <c r="O310" i="14"/>
  <c r="N310" i="14"/>
  <c r="H310" i="14"/>
  <c r="D310" i="14"/>
  <c r="P309" i="14"/>
  <c r="O309" i="14"/>
  <c r="N309" i="14"/>
  <c r="H309" i="14"/>
  <c r="D309" i="14"/>
  <c r="F309" i="14" s="1"/>
  <c r="P308" i="14"/>
  <c r="O308" i="14"/>
  <c r="N308" i="14"/>
  <c r="H308" i="14"/>
  <c r="D308" i="14"/>
  <c r="P301" i="14"/>
  <c r="O301" i="14"/>
  <c r="N301" i="14"/>
  <c r="H301" i="14"/>
  <c r="D301" i="14"/>
  <c r="F301" i="14" s="1"/>
  <c r="P300" i="14"/>
  <c r="O300" i="14"/>
  <c r="N300" i="14"/>
  <c r="H300" i="14"/>
  <c r="D300" i="14"/>
  <c r="F300" i="14" s="1"/>
  <c r="P299" i="14"/>
  <c r="O299" i="14"/>
  <c r="N299" i="14"/>
  <c r="H299" i="14"/>
  <c r="D299" i="14"/>
  <c r="P298" i="14"/>
  <c r="O298" i="14"/>
  <c r="N298" i="14"/>
  <c r="H298" i="14"/>
  <c r="D298" i="14"/>
  <c r="F298" i="14" s="1"/>
  <c r="P297" i="14"/>
  <c r="O297" i="14"/>
  <c r="N297" i="14"/>
  <c r="H297" i="14"/>
  <c r="D297" i="14"/>
  <c r="P296" i="14"/>
  <c r="O296" i="14"/>
  <c r="N296" i="14"/>
  <c r="H296" i="14"/>
  <c r="D296" i="14"/>
  <c r="P295" i="14"/>
  <c r="O295" i="14"/>
  <c r="N295" i="14"/>
  <c r="H295" i="14"/>
  <c r="D295" i="14"/>
  <c r="P294" i="14"/>
  <c r="O294" i="14"/>
  <c r="N294" i="14"/>
  <c r="H294" i="14"/>
  <c r="D294" i="14"/>
  <c r="F294" i="14" s="1"/>
  <c r="P293" i="14"/>
  <c r="O293" i="14"/>
  <c r="N293" i="14"/>
  <c r="H293" i="14"/>
  <c r="D293" i="14"/>
  <c r="F293" i="14" s="1"/>
  <c r="P292" i="14"/>
  <c r="O292" i="14"/>
  <c r="N292" i="14"/>
  <c r="H292" i="14"/>
  <c r="D292" i="14"/>
  <c r="F292" i="14" s="1"/>
  <c r="P291" i="14"/>
  <c r="O291" i="14"/>
  <c r="N291" i="14"/>
  <c r="H291" i="14"/>
  <c r="D291" i="14"/>
  <c r="F291" i="14" s="1"/>
  <c r="P290" i="14"/>
  <c r="O290" i="14"/>
  <c r="N290" i="14"/>
  <c r="H290" i="14"/>
  <c r="D290" i="14"/>
  <c r="E256" i="14"/>
  <c r="H256" i="14" s="1"/>
  <c r="D256" i="14"/>
  <c r="G256" i="14" s="1"/>
  <c r="E255" i="14"/>
  <c r="D255" i="14"/>
  <c r="E254" i="14"/>
  <c r="D254" i="14"/>
  <c r="D34" i="14" s="1"/>
  <c r="E253" i="14"/>
  <c r="D253" i="14"/>
  <c r="D35" i="14" s="1"/>
  <c r="E252" i="14"/>
  <c r="D252" i="14"/>
  <c r="D33" i="14" s="1"/>
  <c r="E251" i="14"/>
  <c r="D251" i="14"/>
  <c r="D28" i="14" s="1"/>
  <c r="E250" i="14"/>
  <c r="D250" i="14"/>
  <c r="D30" i="14" s="1"/>
  <c r="E249" i="14"/>
  <c r="D249" i="14"/>
  <c r="D32" i="14" s="1"/>
  <c r="E248" i="14"/>
  <c r="D248" i="14"/>
  <c r="D31" i="14" s="1"/>
  <c r="E247" i="14"/>
  <c r="D247" i="14"/>
  <c r="D29" i="14" s="1"/>
  <c r="E246" i="14"/>
  <c r="D246" i="14"/>
  <c r="D27" i="14" s="1"/>
  <c r="E245" i="14"/>
  <c r="D245" i="14"/>
  <c r="D26" i="14" s="1"/>
  <c r="I8" i="4"/>
  <c r="H8" i="4"/>
  <c r="G8" i="4"/>
  <c r="F8" i="4"/>
  <c r="E8" i="4"/>
  <c r="D8" i="4"/>
  <c r="C8" i="4"/>
  <c r="I7" i="4"/>
  <c r="H7" i="4"/>
  <c r="G7" i="4"/>
  <c r="F7" i="4"/>
  <c r="E7" i="4"/>
  <c r="D7" i="4"/>
  <c r="C7" i="4"/>
  <c r="J6" i="4"/>
  <c r="D19" i="15" l="1"/>
  <c r="D24" i="15"/>
  <c r="D23" i="15"/>
  <c r="D20" i="15"/>
  <c r="D15" i="15"/>
  <c r="D16" i="15"/>
  <c r="D17" i="15"/>
  <c r="D18" i="15"/>
  <c r="D23" i="14"/>
  <c r="D21" i="14"/>
  <c r="D14" i="14"/>
  <c r="D15" i="14"/>
  <c r="D22" i="14"/>
  <c r="D17" i="14"/>
  <c r="D19" i="14"/>
  <c r="D20" i="14"/>
  <c r="D18" i="14"/>
  <c r="D16" i="14"/>
  <c r="H554" i="15"/>
  <c r="G248" i="15"/>
  <c r="D247" i="15"/>
  <c r="G247" i="15" s="1"/>
  <c r="H248" i="15"/>
  <c r="E247" i="15"/>
  <c r="L555" i="16"/>
  <c r="G600" i="16"/>
  <c r="G620" i="16"/>
  <c r="G580" i="16"/>
  <c r="G331" i="14"/>
  <c r="H533" i="14"/>
  <c r="H285" i="15"/>
  <c r="H494" i="15"/>
  <c r="H502" i="15"/>
  <c r="H450" i="15"/>
  <c r="H454" i="15"/>
  <c r="H382" i="15"/>
  <c r="H313" i="15"/>
  <c r="G464" i="15"/>
  <c r="G509" i="15"/>
  <c r="G547" i="15"/>
  <c r="H543" i="15"/>
  <c r="H555" i="15"/>
  <c r="H556" i="15"/>
  <c r="G517" i="15"/>
  <c r="F353" i="15"/>
  <c r="F379" i="15"/>
  <c r="H242" i="15"/>
  <c r="G243" i="15"/>
  <c r="H243" i="15"/>
  <c r="F303" i="15"/>
  <c r="H538" i="15"/>
  <c r="F402" i="15"/>
  <c r="H480" i="15"/>
  <c r="F376" i="15"/>
  <c r="F449" i="15"/>
  <c r="G540" i="15"/>
  <c r="G300" i="15"/>
  <c r="H300" i="15"/>
  <c r="G515" i="15"/>
  <c r="G297" i="15"/>
  <c r="H238" i="15"/>
  <c r="H376" i="15"/>
  <c r="G331" i="15"/>
  <c r="F330" i="15"/>
  <c r="F406" i="15"/>
  <c r="F481" i="15"/>
  <c r="F522" i="15"/>
  <c r="G239" i="15"/>
  <c r="H314" i="15"/>
  <c r="G337" i="15"/>
  <c r="H499" i="15"/>
  <c r="G328" i="15"/>
  <c r="H525" i="15"/>
  <c r="G329" i="15"/>
  <c r="G333" i="15"/>
  <c r="G314" i="15"/>
  <c r="F493" i="15"/>
  <c r="H290" i="15"/>
  <c r="G556" i="15"/>
  <c r="G245" i="15"/>
  <c r="H287" i="15"/>
  <c r="H297" i="15"/>
  <c r="H237" i="15"/>
  <c r="H245" i="15"/>
  <c r="G427" i="15"/>
  <c r="G469" i="15"/>
  <c r="F478" i="15"/>
  <c r="G508" i="15"/>
  <c r="H545" i="15"/>
  <c r="G238" i="15"/>
  <c r="F382" i="15"/>
  <c r="F405" i="15"/>
  <c r="F538" i="15"/>
  <c r="F546" i="15"/>
  <c r="H333" i="15"/>
  <c r="G363" i="15"/>
  <c r="H402" i="15"/>
  <c r="H363" i="15"/>
  <c r="H470" i="15"/>
  <c r="G510" i="15"/>
  <c r="G240" i="15"/>
  <c r="F282" i="15"/>
  <c r="H360" i="15"/>
  <c r="G367" i="15"/>
  <c r="F302" i="15"/>
  <c r="G318" i="15"/>
  <c r="G422" i="15"/>
  <c r="G451" i="15"/>
  <c r="F530" i="15"/>
  <c r="H405" i="15"/>
  <c r="H318" i="15"/>
  <c r="H334" i="15"/>
  <c r="H331" i="15"/>
  <c r="H493" i="15"/>
  <c r="H343" i="15"/>
  <c r="F421" i="15"/>
  <c r="G419" i="15"/>
  <c r="G511" i="15"/>
  <c r="H529" i="15"/>
  <c r="H374" i="15"/>
  <c r="G335" i="15"/>
  <c r="H530" i="15"/>
  <c r="F329" i="15"/>
  <c r="F447" i="15"/>
  <c r="H483" i="15"/>
  <c r="F494" i="15"/>
  <c r="G502" i="15"/>
  <c r="G513" i="15"/>
  <c r="F531" i="15"/>
  <c r="G330" i="15"/>
  <c r="F298" i="15"/>
  <c r="H467" i="15"/>
  <c r="F484" i="15"/>
  <c r="H541" i="15"/>
  <c r="H552" i="15"/>
  <c r="H451" i="15"/>
  <c r="G463" i="15"/>
  <c r="H484" i="15"/>
  <c r="G514" i="15"/>
  <c r="G542" i="15"/>
  <c r="H422" i="15"/>
  <c r="F314" i="15"/>
  <c r="H532" i="15"/>
  <c r="G553" i="15"/>
  <c r="G480" i="15"/>
  <c r="G471" i="15"/>
  <c r="G512" i="15"/>
  <c r="G241" i="15"/>
  <c r="G327" i="15"/>
  <c r="G408" i="15"/>
  <c r="H448" i="15"/>
  <c r="G554" i="15"/>
  <c r="F502" i="15"/>
  <c r="H557" i="15"/>
  <c r="H513" i="15"/>
  <c r="G409" i="15"/>
  <c r="H412" i="15"/>
  <c r="H418" i="15"/>
  <c r="H464" i="15"/>
  <c r="H469" i="15"/>
  <c r="G524" i="15"/>
  <c r="G344" i="15"/>
  <c r="H478" i="15"/>
  <c r="G313" i="15"/>
  <c r="H344" i="15"/>
  <c r="H342" i="15"/>
  <c r="G379" i="15"/>
  <c r="H453" i="15"/>
  <c r="G487" i="15"/>
  <c r="H514" i="15"/>
  <c r="H524" i="15"/>
  <c r="H531" i="15"/>
  <c r="H560" i="15"/>
  <c r="F285" i="15"/>
  <c r="F338" i="15"/>
  <c r="F377" i="15"/>
  <c r="H375" i="15"/>
  <c r="G403" i="15"/>
  <c r="H406" i="15"/>
  <c r="G420" i="15"/>
  <c r="H479" i="15"/>
  <c r="H497" i="15"/>
  <c r="F515" i="15"/>
  <c r="G525" i="15"/>
  <c r="G552" i="15"/>
  <c r="H332" i="15"/>
  <c r="H364" i="15"/>
  <c r="H403" i="15"/>
  <c r="F465" i="15"/>
  <c r="H487" i="15"/>
  <c r="G561" i="15"/>
  <c r="H291" i="15"/>
  <c r="G348" i="15"/>
  <c r="H351" i="15"/>
  <c r="G477" i="15"/>
  <c r="G562" i="15"/>
  <c r="H508" i="15"/>
  <c r="H562" i="15"/>
  <c r="G407" i="15"/>
  <c r="H410" i="15"/>
  <c r="H481" i="15"/>
  <c r="H516" i="15"/>
  <c r="G299" i="15"/>
  <c r="H289" i="15"/>
  <c r="H299" i="15"/>
  <c r="F362" i="15"/>
  <c r="H407" i="15"/>
  <c r="H466" i="15"/>
  <c r="H509" i="15"/>
  <c r="H527" i="15"/>
  <c r="G472" i="15"/>
  <c r="H482" i="15"/>
  <c r="G528" i="15"/>
  <c r="H348" i="15"/>
  <c r="H293" i="15"/>
  <c r="H327" i="15"/>
  <c r="G359" i="15"/>
  <c r="H330" i="15"/>
  <c r="H336" i="15"/>
  <c r="H359" i="15"/>
  <c r="F420" i="15"/>
  <c r="H426" i="15"/>
  <c r="H447" i="15"/>
  <c r="F451" i="15"/>
  <c r="H472" i="15"/>
  <c r="G483" i="15"/>
  <c r="H528" i="15"/>
  <c r="G555" i="15"/>
  <c r="H574" i="14"/>
  <c r="G542" i="14"/>
  <c r="G604" i="14"/>
  <c r="H571" i="14"/>
  <c r="H346" i="14"/>
  <c r="G328" i="14"/>
  <c r="F369" i="14"/>
  <c r="F574" i="14"/>
  <c r="G543" i="14"/>
  <c r="H245" i="14"/>
  <c r="F516" i="14"/>
  <c r="J8" i="4"/>
  <c r="G708" i="16"/>
  <c r="L548" i="16"/>
  <c r="L549" i="16"/>
  <c r="L557" i="16"/>
  <c r="L559" i="16"/>
  <c r="G642" i="16"/>
  <c r="M548" i="16"/>
  <c r="M555" i="16"/>
  <c r="G686" i="16"/>
  <c r="G774" i="16"/>
  <c r="K560" i="16"/>
  <c r="L560" i="16" s="1"/>
  <c r="Q480" i="16"/>
  <c r="R480" i="16" s="1"/>
  <c r="L556" i="16"/>
  <c r="M420" i="16"/>
  <c r="R560" i="16"/>
  <c r="G664" i="16"/>
  <c r="L552" i="16"/>
  <c r="M557" i="16"/>
  <c r="G796" i="16"/>
  <c r="L545" i="16"/>
  <c r="M549" i="16"/>
  <c r="G560" i="16"/>
  <c r="R471" i="16"/>
  <c r="L558" i="16"/>
  <c r="L547" i="16"/>
  <c r="L561" i="16"/>
  <c r="L553" i="16"/>
  <c r="L554" i="16"/>
  <c r="L550" i="16"/>
  <c r="L546" i="16"/>
  <c r="L551" i="16"/>
  <c r="K6" i="4"/>
  <c r="L6" i="4" s="1"/>
  <c r="J7" i="4"/>
  <c r="G467" i="15"/>
  <c r="G361" i="15"/>
  <c r="G405" i="15"/>
  <c r="H449" i="15"/>
  <c r="H462" i="15"/>
  <c r="F503" i="15"/>
  <c r="D292" i="15"/>
  <c r="G292" i="15" s="1"/>
  <c r="H286" i="15"/>
  <c r="G315" i="15"/>
  <c r="G319" i="15"/>
  <c r="H349" i="15"/>
  <c r="H361" i="15"/>
  <c r="H380" i="15"/>
  <c r="G423" i="15"/>
  <c r="G485" i="15"/>
  <c r="H495" i="15"/>
  <c r="H526" i="15"/>
  <c r="G290" i="15"/>
  <c r="F308" i="15"/>
  <c r="F297" i="15"/>
  <c r="H308" i="15"/>
  <c r="G353" i="15"/>
  <c r="G462" i="15"/>
  <c r="F239" i="15"/>
  <c r="H304" i="15"/>
  <c r="F365" i="15"/>
  <c r="H427" i="15"/>
  <c r="H473" i="15"/>
  <c r="G526" i="15"/>
  <c r="H239" i="15"/>
  <c r="H282" i="15"/>
  <c r="H315" i="15"/>
  <c r="H319" i="15"/>
  <c r="H345" i="15"/>
  <c r="H373" i="15"/>
  <c r="H423" i="15"/>
  <c r="F477" i="15"/>
  <c r="H485" i="15"/>
  <c r="G496" i="15"/>
  <c r="H515" i="15"/>
  <c r="G527" i="15"/>
  <c r="G546" i="15"/>
  <c r="G557" i="15"/>
  <c r="F238" i="15"/>
  <c r="F300" i="15"/>
  <c r="F514" i="15"/>
  <c r="G304" i="15"/>
  <c r="G473" i="15"/>
  <c r="G312" i="15"/>
  <c r="G345" i="15"/>
  <c r="H420" i="15"/>
  <c r="G486" i="15"/>
  <c r="H496" i="15"/>
  <c r="H507" i="15"/>
  <c r="F240" i="15"/>
  <c r="G301" i="15"/>
  <c r="F305" i="15"/>
  <c r="G357" i="15"/>
  <c r="H409" i="15"/>
  <c r="F450" i="15"/>
  <c r="H463" i="15"/>
  <c r="H468" i="15"/>
  <c r="H477" i="15"/>
  <c r="H486" i="15"/>
  <c r="G497" i="15"/>
  <c r="G558" i="15"/>
  <c r="H298" i="15"/>
  <c r="F342" i="15"/>
  <c r="H350" i="15"/>
  <c r="G374" i="15"/>
  <c r="H377" i="15"/>
  <c r="H381" i="15"/>
  <c r="G424" i="15"/>
  <c r="G498" i="15"/>
  <c r="G283" i="15"/>
  <c r="F316" i="15"/>
  <c r="H320" i="15"/>
  <c r="G342" i="15"/>
  <c r="G346" i="15"/>
  <c r="G417" i="15"/>
  <c r="H424" i="15"/>
  <c r="G478" i="15"/>
  <c r="F487" i="15"/>
  <c r="H498" i="15"/>
  <c r="H517" i="15"/>
  <c r="G242" i="15"/>
  <c r="H283" i="15"/>
  <c r="F313" i="15"/>
  <c r="H316" i="15"/>
  <c r="H335" i="15"/>
  <c r="H346" i="15"/>
  <c r="H367" i="15"/>
  <c r="G410" i="15"/>
  <c r="H417" i="15"/>
  <c r="H455" i="15"/>
  <c r="F499" i="15"/>
  <c r="F518" i="15"/>
  <c r="G529" i="15"/>
  <c r="F548" i="15"/>
  <c r="G560" i="15"/>
  <c r="H284" i="15"/>
  <c r="F299" i="15"/>
  <c r="H317" i="15"/>
  <c r="H347" i="15"/>
  <c r="F407" i="15"/>
  <c r="H465" i="15"/>
  <c r="H492" i="15"/>
  <c r="F511" i="15"/>
  <c r="H522" i="15"/>
  <c r="G530" i="15"/>
  <c r="H372" i="15"/>
  <c r="F419" i="15"/>
  <c r="H301" i="15"/>
  <c r="G377" i="15"/>
  <c r="H292" i="15"/>
  <c r="G321" i="15"/>
  <c r="F470" i="15"/>
  <c r="G421" i="15"/>
  <c r="F288" i="15"/>
  <c r="G317" i="15"/>
  <c r="H421" i="15"/>
  <c r="H456" i="15"/>
  <c r="G307" i="15"/>
  <c r="G293" i="15"/>
  <c r="H307" i="15"/>
  <c r="F317" i="15"/>
  <c r="G332" i="15"/>
  <c r="G481" i="15"/>
  <c r="H501" i="15"/>
  <c r="G523" i="15"/>
  <c r="H542" i="15"/>
  <c r="F524" i="15"/>
  <c r="H305" i="15"/>
  <c r="G350" i="15"/>
  <c r="G381" i="15"/>
  <c r="H306" i="15"/>
  <c r="H302" i="15"/>
  <c r="F328" i="15"/>
  <c r="H378" i="15"/>
  <c r="G347" i="15"/>
  <c r="H425" i="15"/>
  <c r="H500" i="15"/>
  <c r="G237" i="15"/>
  <c r="G244" i="15"/>
  <c r="G303" i="15"/>
  <c r="F322" i="15"/>
  <c r="G404" i="15"/>
  <c r="H471" i="15"/>
  <c r="H523" i="15"/>
  <c r="G531" i="15"/>
  <c r="F554" i="15"/>
  <c r="F422" i="15"/>
  <c r="G376" i="15"/>
  <c r="G287" i="15"/>
  <c r="G351" i="15"/>
  <c r="G378" i="15"/>
  <c r="G484" i="15"/>
  <c r="H510" i="15"/>
  <c r="G302" i="15"/>
  <c r="H321" i="15"/>
  <c r="G470" i="15"/>
  <c r="G541" i="15"/>
  <c r="F243" i="15"/>
  <c r="G418" i="15"/>
  <c r="G492" i="15"/>
  <c r="H511" i="15"/>
  <c r="H303" i="15"/>
  <c r="H322" i="15"/>
  <c r="H329" i="15"/>
  <c r="H379" i="15"/>
  <c r="G426" i="15"/>
  <c r="F448" i="15"/>
  <c r="H457" i="15"/>
  <c r="G466" i="15"/>
  <c r="F482" i="15"/>
  <c r="H512" i="15"/>
  <c r="F523" i="15"/>
  <c r="F543" i="15"/>
  <c r="F563" i="15"/>
  <c r="G456" i="15"/>
  <c r="G285" i="15"/>
  <c r="F359" i="15"/>
  <c r="F374" i="15"/>
  <c r="G448" i="15"/>
  <c r="F464" i="15"/>
  <c r="G495" i="15"/>
  <c r="F495" i="15"/>
  <c r="G522" i="15"/>
  <c r="H539" i="15"/>
  <c r="F556" i="15"/>
  <c r="G406" i="15"/>
  <c r="F413" i="15"/>
  <c r="G452" i="15"/>
  <c r="F539" i="15"/>
  <c r="H546" i="15"/>
  <c r="H240" i="15"/>
  <c r="F345" i="15"/>
  <c r="G402" i="15"/>
  <c r="F427" i="15"/>
  <c r="F457" i="15"/>
  <c r="F486" i="15"/>
  <c r="G539" i="15"/>
  <c r="F547" i="15"/>
  <c r="G320" i="15"/>
  <c r="F320" i="15"/>
  <c r="F348" i="15"/>
  <c r="H419" i="15"/>
  <c r="H241" i="15"/>
  <c r="F241" i="15"/>
  <c r="G282" i="15"/>
  <c r="F331" i="15"/>
  <c r="G349" i="15"/>
  <c r="F349" i="15"/>
  <c r="G364" i="15"/>
  <c r="G457" i="15"/>
  <c r="H540" i="15"/>
  <c r="G334" i="15"/>
  <c r="F334" i="15"/>
  <c r="G286" i="15"/>
  <c r="F286" i="15"/>
  <c r="E352" i="15"/>
  <c r="H352" i="15" s="1"/>
  <c r="G479" i="15"/>
  <c r="F479" i="15"/>
  <c r="H547" i="15"/>
  <c r="G289" i="15"/>
  <c r="G298" i="15"/>
  <c r="G308" i="15"/>
  <c r="H328" i="15"/>
  <c r="G360" i="15"/>
  <c r="F360" i="15"/>
  <c r="F368" i="15"/>
  <c r="G375" i="15"/>
  <c r="G382" i="15"/>
  <c r="G453" i="15"/>
  <c r="F471" i="15"/>
  <c r="G507" i="15"/>
  <c r="F507" i="15"/>
  <c r="G322" i="15"/>
  <c r="D352" i="15"/>
  <c r="F424" i="15"/>
  <c r="F542" i="15"/>
  <c r="G449" i="15"/>
  <c r="G458" i="15"/>
  <c r="F458" i="15"/>
  <c r="H244" i="15"/>
  <c r="F244" i="15"/>
  <c r="G323" i="15"/>
  <c r="F323" i="15"/>
  <c r="H365" i="15"/>
  <c r="H404" i="15"/>
  <c r="G411" i="15"/>
  <c r="F411" i="15"/>
  <c r="G482" i="15"/>
  <c r="G499" i="15"/>
  <c r="G284" i="15"/>
  <c r="G305" i="15"/>
  <c r="H411" i="15"/>
  <c r="G425" i="15"/>
  <c r="F425" i="15"/>
  <c r="F467" i="15"/>
  <c r="G537" i="15"/>
  <c r="G543" i="15"/>
  <c r="F319" i="15"/>
  <c r="G358" i="15"/>
  <c r="G373" i="15"/>
  <c r="F463" i="15"/>
  <c r="G500" i="15"/>
  <c r="F510" i="15"/>
  <c r="F527" i="15"/>
  <c r="F562" i="15"/>
  <c r="G288" i="15"/>
  <c r="F333" i="15"/>
  <c r="F351" i="15"/>
  <c r="H358" i="15"/>
  <c r="H362" i="15"/>
  <c r="G380" i="15"/>
  <c r="G455" i="15"/>
  <c r="F483" i="15"/>
  <c r="G493" i="15"/>
  <c r="H537" i="15"/>
  <c r="G544" i="15"/>
  <c r="F544" i="15"/>
  <c r="G372" i="15"/>
  <c r="F372" i="15"/>
  <c r="F245" i="15"/>
  <c r="H288" i="15"/>
  <c r="G306" i="15"/>
  <c r="F306" i="15"/>
  <c r="G362" i="15"/>
  <c r="H408" i="15"/>
  <c r="G447" i="15"/>
  <c r="G468" i="15"/>
  <c r="F468" i="15"/>
  <c r="G501" i="15"/>
  <c r="G538" i="15"/>
  <c r="H544" i="15"/>
  <c r="F410" i="15"/>
  <c r="F498" i="15"/>
  <c r="F283" i="15"/>
  <c r="F346" i="15"/>
  <c r="G454" i="15"/>
  <c r="G532" i="15"/>
  <c r="F532" i="15"/>
  <c r="F343" i="15"/>
  <c r="F526" i="15"/>
  <c r="H561" i="15"/>
  <c r="F561" i="15"/>
  <c r="G343" i="15"/>
  <c r="G365" i="15"/>
  <c r="G383" i="15"/>
  <c r="F383" i="15"/>
  <c r="G450" i="15"/>
  <c r="F454" i="15"/>
  <c r="G516" i="15"/>
  <c r="F516" i="15"/>
  <c r="G572" i="15"/>
  <c r="F572" i="15"/>
  <c r="G316" i="15"/>
  <c r="F380" i="15"/>
  <c r="F408" i="15"/>
  <c r="G412" i="15"/>
  <c r="G494" i="15"/>
  <c r="G545" i="15"/>
  <c r="F555" i="15"/>
  <c r="E357" i="15"/>
  <c r="N357" i="15"/>
  <c r="F363" i="15"/>
  <c r="F403" i="15"/>
  <c r="F417" i="15"/>
  <c r="F428" i="15"/>
  <c r="F455" i="15"/>
  <c r="F472" i="15"/>
  <c r="F488" i="15"/>
  <c r="F500" i="15"/>
  <c r="F528" i="15"/>
  <c r="F557" i="15"/>
  <c r="F237" i="15"/>
  <c r="F312" i="15"/>
  <c r="P357" i="15"/>
  <c r="F375" i="15"/>
  <c r="H383" i="15"/>
  <c r="G428" i="15"/>
  <c r="F452" i="15"/>
  <c r="H458" i="15"/>
  <c r="G488" i="15"/>
  <c r="F512" i="15"/>
  <c r="F540" i="15"/>
  <c r="H312" i="15"/>
  <c r="F315" i="15"/>
  <c r="H338" i="15"/>
  <c r="F344" i="15"/>
  <c r="F378" i="15"/>
  <c r="H452" i="15"/>
  <c r="G465" i="15"/>
  <c r="F496" i="15"/>
  <c r="F508" i="15"/>
  <c r="F533" i="15"/>
  <c r="G563" i="15"/>
  <c r="F242" i="15"/>
  <c r="F301" i="15"/>
  <c r="F332" i="15"/>
  <c r="F358" i="15"/>
  <c r="F394" i="15"/>
  <c r="F409" i="15"/>
  <c r="F423" i="15"/>
  <c r="F462" i="15"/>
  <c r="F469" i="15"/>
  <c r="F480" i="15"/>
  <c r="F517" i="15"/>
  <c r="F545" i="15"/>
  <c r="H563" i="15"/>
  <c r="F318" i="15"/>
  <c r="F347" i="15"/>
  <c r="F367" i="15"/>
  <c r="F381" i="15"/>
  <c r="F492" i="15"/>
  <c r="F501" i="15"/>
  <c r="F529" i="15"/>
  <c r="H553" i="15"/>
  <c r="H558" i="15"/>
  <c r="F592" i="15"/>
  <c r="F284" i="15"/>
  <c r="F304" i="15"/>
  <c r="F321" i="15"/>
  <c r="F335" i="15"/>
  <c r="F361" i="15"/>
  <c r="F412" i="15"/>
  <c r="F426" i="15"/>
  <c r="F473" i="15"/>
  <c r="F513" i="15"/>
  <c r="F541" i="15"/>
  <c r="F248" i="15"/>
  <c r="F307" i="15"/>
  <c r="F350" i="15"/>
  <c r="F373" i="15"/>
  <c r="F456" i="15"/>
  <c r="F485" i="15"/>
  <c r="F525" i="15"/>
  <c r="F287" i="15"/>
  <c r="F290" i="15"/>
  <c r="F293" i="15"/>
  <c r="F327" i="15"/>
  <c r="F364" i="15"/>
  <c r="F404" i="15"/>
  <c r="F418" i="15"/>
  <c r="F453" i="15"/>
  <c r="F466" i="15"/>
  <c r="F509" i="15"/>
  <c r="F537" i="15"/>
  <c r="F507" i="14"/>
  <c r="G482" i="14"/>
  <c r="G487" i="14"/>
  <c r="H526" i="14"/>
  <c r="H542" i="14"/>
  <c r="H487" i="14"/>
  <c r="G349" i="14"/>
  <c r="F525" i="14"/>
  <c r="F572" i="14"/>
  <c r="F590" i="14"/>
  <c r="F485" i="14"/>
  <c r="G499" i="14"/>
  <c r="H543" i="14"/>
  <c r="F365" i="14"/>
  <c r="F389" i="14"/>
  <c r="F533" i="14"/>
  <c r="F611" i="14"/>
  <c r="F353" i="14"/>
  <c r="P471" i="14"/>
  <c r="F349" i="14"/>
  <c r="G540" i="14"/>
  <c r="F571" i="14"/>
  <c r="G605" i="14"/>
  <c r="G441" i="14"/>
  <c r="G541" i="14"/>
  <c r="H524" i="14"/>
  <c r="G335" i="14"/>
  <c r="G432" i="14"/>
  <c r="F510" i="14"/>
  <c r="P473" i="14"/>
  <c r="G308" i="14"/>
  <c r="G351" i="14"/>
  <c r="H370" i="14"/>
  <c r="G317" i="14"/>
  <c r="F351" i="14"/>
  <c r="G316" i="14"/>
  <c r="G297" i="14"/>
  <c r="G290" i="14"/>
  <c r="G313" i="14"/>
  <c r="H348" i="14"/>
  <c r="F387" i="14"/>
  <c r="F439" i="14"/>
  <c r="F344" i="14"/>
  <c r="F407" i="14"/>
  <c r="G483" i="14"/>
  <c r="F493" i="14"/>
  <c r="G437" i="14"/>
  <c r="H483" i="14"/>
  <c r="H488" i="14"/>
  <c r="H525" i="14"/>
  <c r="G399" i="14"/>
  <c r="G405" i="14"/>
  <c r="H399" i="14"/>
  <c r="H405" i="14"/>
  <c r="G484" i="14"/>
  <c r="G457" i="14"/>
  <c r="H484" i="14"/>
  <c r="G454" i="14"/>
  <c r="H438" i="14"/>
  <c r="F500" i="14"/>
  <c r="F506" i="14"/>
  <c r="G333" i="14"/>
  <c r="F348" i="14"/>
  <c r="G352" i="14"/>
  <c r="F382" i="14"/>
  <c r="H406" i="14"/>
  <c r="G449" i="14"/>
  <c r="H454" i="14"/>
  <c r="F490" i="14"/>
  <c r="G398" i="14"/>
  <c r="G329" i="14"/>
  <c r="H382" i="14"/>
  <c r="H501" i="14"/>
  <c r="G314" i="14"/>
  <c r="H439" i="14"/>
  <c r="G491" i="14"/>
  <c r="F247" i="14"/>
  <c r="G353" i="14"/>
  <c r="G383" i="14"/>
  <c r="G486" i="14"/>
  <c r="H520" i="14"/>
  <c r="H536" i="14"/>
  <c r="F368" i="14"/>
  <c r="H486" i="14"/>
  <c r="F521" i="14"/>
  <c r="G330" i="14"/>
  <c r="G345" i="14"/>
  <c r="H397" i="14"/>
  <c r="G431" i="14"/>
  <c r="H537" i="14"/>
  <c r="H366" i="14"/>
  <c r="G440" i="14"/>
  <c r="G492" i="14"/>
  <c r="F290" i="14"/>
  <c r="F383" i="14"/>
  <c r="G505" i="14"/>
  <c r="G455" i="14"/>
  <c r="H435" i="14"/>
  <c r="G248" i="14"/>
  <c r="G294" i="14"/>
  <c r="G574" i="14"/>
  <c r="G591" i="14"/>
  <c r="H248" i="14"/>
  <c r="H431" i="14"/>
  <c r="G451" i="14"/>
  <c r="G490" i="14"/>
  <c r="H500" i="14"/>
  <c r="H517" i="14"/>
  <c r="G365" i="14"/>
  <c r="E451" i="14"/>
  <c r="H451" i="14" s="1"/>
  <c r="H506" i="14"/>
  <c r="G534" i="14"/>
  <c r="F575" i="14"/>
  <c r="G592" i="14"/>
  <c r="E612" i="14"/>
  <c r="H604" i="14" s="1"/>
  <c r="G299" i="14"/>
  <c r="H380" i="14"/>
  <c r="G501" i="14"/>
  <c r="G318" i="14"/>
  <c r="G519" i="14"/>
  <c r="G291" i="14"/>
  <c r="H519" i="14"/>
  <c r="H535" i="14"/>
  <c r="G567" i="14"/>
  <c r="H576" i="14"/>
  <c r="G611" i="14"/>
  <c r="H383" i="14"/>
  <c r="H456" i="14"/>
  <c r="H505" i="14"/>
  <c r="H365" i="14"/>
  <c r="H518" i="14"/>
  <c r="G610" i="14"/>
  <c r="H404" i="14"/>
  <c r="H436" i="14"/>
  <c r="G535" i="14"/>
  <c r="F370" i="14"/>
  <c r="G385" i="14"/>
  <c r="G536" i="14"/>
  <c r="H567" i="14"/>
  <c r="F577" i="14"/>
  <c r="G594" i="14"/>
  <c r="F482" i="14"/>
  <c r="G502" i="14"/>
  <c r="H502" i="14"/>
  <c r="E595" i="14"/>
  <c r="H587" i="14" s="1"/>
  <c r="F319" i="14"/>
  <c r="G390" i="14"/>
  <c r="G453" i="14"/>
  <c r="G311" i="14"/>
  <c r="G315" i="14"/>
  <c r="G319" i="14"/>
  <c r="G386" i="14"/>
  <c r="H433" i="14"/>
  <c r="G458" i="14"/>
  <c r="F508" i="14"/>
  <c r="H522" i="14"/>
  <c r="H538" i="14"/>
  <c r="H569" i="14"/>
  <c r="G601" i="14"/>
  <c r="G366" i="14"/>
  <c r="G334" i="14"/>
  <c r="H386" i="14"/>
  <c r="F503" i="14"/>
  <c r="G539" i="14"/>
  <c r="G570" i="14"/>
  <c r="F587" i="14"/>
  <c r="H437" i="14"/>
  <c r="H521" i="14"/>
  <c r="H455" i="14"/>
  <c r="G538" i="14"/>
  <c r="G569" i="14"/>
  <c r="G584" i="14"/>
  <c r="H363" i="14"/>
  <c r="F406" i="14"/>
  <c r="F488" i="14"/>
  <c r="H523" i="14"/>
  <c r="H539" i="14"/>
  <c r="H570" i="14"/>
  <c r="F602" i="14"/>
  <c r="H457" i="14"/>
  <c r="G245" i="14"/>
  <c r="H255" i="14"/>
  <c r="G247" i="14"/>
  <c r="G254" i="14"/>
  <c r="G382" i="14"/>
  <c r="G407" i="14"/>
  <c r="H247" i="14"/>
  <c r="G255" i="14"/>
  <c r="F311" i="14"/>
  <c r="H351" i="14"/>
  <c r="F355" i="14"/>
  <c r="G368" i="14"/>
  <c r="G404" i="14"/>
  <c r="H407" i="14"/>
  <c r="G435" i="14"/>
  <c r="G524" i="14"/>
  <c r="H344" i="14"/>
  <c r="G348" i="14"/>
  <c r="F491" i="14"/>
  <c r="F605" i="14"/>
  <c r="F248" i="14"/>
  <c r="H373" i="14"/>
  <c r="F399" i="14"/>
  <c r="P472" i="14"/>
  <c r="F539" i="14"/>
  <c r="G568" i="14"/>
  <c r="H575" i="14"/>
  <c r="G362" i="14"/>
  <c r="H369" i="14"/>
  <c r="F436" i="14"/>
  <c r="F487" i="14"/>
  <c r="F517" i="14"/>
  <c r="G526" i="14"/>
  <c r="H568" i="14"/>
  <c r="G576" i="14"/>
  <c r="H362" i="14"/>
  <c r="G249" i="14"/>
  <c r="H352" i="14"/>
  <c r="G387" i="14"/>
  <c r="H390" i="14"/>
  <c r="G450" i="14"/>
  <c r="G507" i="14"/>
  <c r="G516" i="14"/>
  <c r="F249" i="14"/>
  <c r="H345" i="14"/>
  <c r="F366" i="14"/>
  <c r="G380" i="14"/>
  <c r="H387" i="14"/>
  <c r="H391" i="14"/>
  <c r="H432" i="14"/>
  <c r="H492" i="14"/>
  <c r="H507" i="14"/>
  <c r="H540" i="14"/>
  <c r="H577" i="14"/>
  <c r="G593" i="14"/>
  <c r="H250" i="14"/>
  <c r="G520" i="14"/>
  <c r="F570" i="14"/>
  <c r="G251" i="14"/>
  <c r="G346" i="14"/>
  <c r="H349" i="14"/>
  <c r="H353" i="14"/>
  <c r="G384" i="14"/>
  <c r="G397" i="14"/>
  <c r="G433" i="14"/>
  <c r="F484" i="14"/>
  <c r="G508" i="14"/>
  <c r="G587" i="14"/>
  <c r="E449" i="14"/>
  <c r="H449" i="14" s="1"/>
  <c r="G293" i="14"/>
  <c r="H249" i="14"/>
  <c r="G370" i="14"/>
  <c r="G250" i="14"/>
  <c r="G363" i="14"/>
  <c r="F541" i="14"/>
  <c r="H384" i="14"/>
  <c r="G406" i="14"/>
  <c r="G252" i="14"/>
  <c r="G367" i="14"/>
  <c r="G381" i="14"/>
  <c r="H388" i="14"/>
  <c r="F252" i="14"/>
  <c r="G295" i="14"/>
  <c r="H367" i="14"/>
  <c r="H381" i="14"/>
  <c r="F442" i="14"/>
  <c r="M475" i="14"/>
  <c r="P475" i="14" s="1"/>
  <c r="H489" i="14"/>
  <c r="H503" i="14"/>
  <c r="G571" i="14"/>
  <c r="F245" i="14"/>
  <c r="H252" i="14"/>
  <c r="G310" i="14"/>
  <c r="F318" i="14"/>
  <c r="G350" i="14"/>
  <c r="F364" i="14"/>
  <c r="G371" i="14"/>
  <c r="F438" i="14"/>
  <c r="G452" i="14"/>
  <c r="G456" i="14"/>
  <c r="F522" i="14"/>
  <c r="F588" i="14"/>
  <c r="F253" i="14"/>
  <c r="F328" i="14"/>
  <c r="G347" i="14"/>
  <c r="H354" i="14"/>
  <c r="H385" i="14"/>
  <c r="F398" i="14"/>
  <c r="H434" i="14"/>
  <c r="G438" i="14"/>
  <c r="H485" i="14"/>
  <c r="H504" i="14"/>
  <c r="G522" i="14"/>
  <c r="F544" i="14"/>
  <c r="H572" i="14"/>
  <c r="G589" i="14"/>
  <c r="G489" i="14"/>
  <c r="G354" i="14"/>
  <c r="E452" i="14"/>
  <c r="H452" i="14" s="1"/>
  <c r="G509" i="14"/>
  <c r="G246" i="14"/>
  <c r="D336" i="14"/>
  <c r="G336" i="14" s="1"/>
  <c r="H347" i="14"/>
  <c r="F385" i="14"/>
  <c r="H389" i="14"/>
  <c r="G448" i="14"/>
  <c r="H490" i="14"/>
  <c r="G573" i="14"/>
  <c r="G603" i="14"/>
  <c r="H251" i="14"/>
  <c r="G388" i="14"/>
  <c r="G253" i="14"/>
  <c r="H350" i="14"/>
  <c r="H364" i="14"/>
  <c r="H371" i="14"/>
  <c r="G434" i="14"/>
  <c r="E475" i="14"/>
  <c r="H475" i="14" s="1"/>
  <c r="G504" i="14"/>
  <c r="H534" i="14"/>
  <c r="H246" i="14"/>
  <c r="H254" i="14"/>
  <c r="G296" i="14"/>
  <c r="E372" i="14"/>
  <c r="H372" i="14" s="1"/>
  <c r="H398" i="14"/>
  <c r="H499" i="14"/>
  <c r="G523" i="14"/>
  <c r="F537" i="14"/>
  <c r="H573" i="14"/>
  <c r="F589" i="14"/>
  <c r="H440" i="14"/>
  <c r="F440" i="14"/>
  <c r="G327" i="14"/>
  <c r="H516" i="14"/>
  <c r="G525" i="14"/>
  <c r="F432" i="14"/>
  <c r="G521" i="14"/>
  <c r="F584" i="14"/>
  <c r="F604" i="14"/>
  <c r="G312" i="14"/>
  <c r="F371" i="14"/>
  <c r="F505" i="14"/>
  <c r="F610" i="14"/>
  <c r="F337" i="14"/>
  <c r="P465" i="14"/>
  <c r="F540" i="14"/>
  <c r="H544" i="14"/>
  <c r="G309" i="14"/>
  <c r="F334" i="14"/>
  <c r="F435" i="14"/>
  <c r="H508" i="14"/>
  <c r="G517" i="14"/>
  <c r="F526" i="14"/>
  <c r="G595" i="14"/>
  <c r="H253" i="14"/>
  <c r="F297" i="14"/>
  <c r="G300" i="14"/>
  <c r="F331" i="14"/>
  <c r="F346" i="14"/>
  <c r="F363" i="14"/>
  <c r="F380" i="14"/>
  <c r="F391" i="14"/>
  <c r="F404" i="14"/>
  <c r="P440" i="14"/>
  <c r="F502" i="14"/>
  <c r="F536" i="14"/>
  <c r="G575" i="14"/>
  <c r="F591" i="14"/>
  <c r="E448" i="14"/>
  <c r="H448" i="14" s="1"/>
  <c r="F354" i="14"/>
  <c r="H368" i="14"/>
  <c r="F388" i="14"/>
  <c r="G337" i="14"/>
  <c r="H466" i="14"/>
  <c r="F255" i="14"/>
  <c r="F295" i="14"/>
  <c r="G298" i="14"/>
  <c r="F329" i="14"/>
  <c r="G332" i="14"/>
  <c r="F347" i="14"/>
  <c r="F381" i="14"/>
  <c r="F397" i="14"/>
  <c r="F405" i="14"/>
  <c r="G436" i="14"/>
  <c r="P474" i="14"/>
  <c r="G503" i="14"/>
  <c r="F519" i="14"/>
  <c r="F542" i="14"/>
  <c r="G588" i="14"/>
  <c r="G612" i="14"/>
  <c r="G369" i="14"/>
  <c r="N629" i="14"/>
  <c r="F251" i="14"/>
  <c r="G292" i="14"/>
  <c r="F317" i="14"/>
  <c r="G326" i="14"/>
  <c r="F350" i="14"/>
  <c r="F367" i="14"/>
  <c r="F384" i="14"/>
  <c r="F408" i="14"/>
  <c r="G439" i="14"/>
  <c r="E453" i="14"/>
  <c r="H453" i="14" s="1"/>
  <c r="G459" i="14"/>
  <c r="F492" i="14"/>
  <c r="G500" i="14"/>
  <c r="G533" i="14"/>
  <c r="F538" i="14"/>
  <c r="G577" i="14"/>
  <c r="F593" i="14"/>
  <c r="G602" i="14"/>
  <c r="F499" i="14"/>
  <c r="F352" i="14"/>
  <c r="D372" i="14"/>
  <c r="F386" i="14"/>
  <c r="F310" i="14"/>
  <c r="F433" i="14"/>
  <c r="H482" i="14"/>
  <c r="G485" i="14"/>
  <c r="G527" i="14"/>
  <c r="G537" i="14"/>
  <c r="F246" i="14"/>
  <c r="G355" i="14"/>
  <c r="G364" i="14"/>
  <c r="F459" i="14"/>
  <c r="G607" i="14"/>
  <c r="F431" i="14"/>
  <c r="E450" i="14"/>
  <c r="H450" i="14" s="1"/>
  <c r="F483" i="14"/>
  <c r="F486" i="14"/>
  <c r="F489" i="14"/>
  <c r="F524" i="14"/>
  <c r="F573" i="14"/>
  <c r="F313" i="14"/>
  <c r="F567" i="14"/>
  <c r="F250" i="14"/>
  <c r="G488" i="14"/>
  <c r="H541" i="14"/>
  <c r="F592" i="14"/>
  <c r="F335" i="14"/>
  <c r="M441" i="14"/>
  <c r="G506" i="14"/>
  <c r="F523" i="14"/>
  <c r="G389" i="14"/>
  <c r="F256" i="14"/>
  <c r="F308" i="14"/>
  <c r="F434" i="14"/>
  <c r="F504" i="14"/>
  <c r="F520" i="14"/>
  <c r="F543" i="14"/>
  <c r="F316" i="14"/>
  <c r="F518" i="14"/>
  <c r="G518" i="14"/>
  <c r="H491" i="14"/>
  <c r="G301" i="14"/>
  <c r="G344" i="14"/>
  <c r="G572" i="14"/>
  <c r="F299" i="14"/>
  <c r="F333" i="14"/>
  <c r="F345" i="14"/>
  <c r="F362" i="14"/>
  <c r="F373" i="14"/>
  <c r="F390" i="14"/>
  <c r="F578" i="14"/>
  <c r="F603" i="14"/>
  <c r="F296" i="14"/>
  <c r="F330" i="14"/>
  <c r="F437" i="14"/>
  <c r="F501" i="14"/>
  <c r="F594" i="14"/>
  <c r="G609" i="14"/>
  <c r="G590" i="14"/>
  <c r="F254" i="14"/>
  <c r="F527" i="14"/>
  <c r="F576" i="14"/>
  <c r="F601" i="14"/>
  <c r="G606" i="14"/>
  <c r="H247" i="15" l="1"/>
  <c r="F247" i="15"/>
  <c r="L8" i="4"/>
  <c r="L7" i="4"/>
  <c r="M6" i="4"/>
  <c r="N6" i="4" s="1"/>
  <c r="C11" i="4" s="1"/>
  <c r="K8" i="4"/>
  <c r="K7" i="4"/>
  <c r="F292" i="15"/>
  <c r="G352" i="15"/>
  <c r="F352" i="15"/>
  <c r="H357" i="15"/>
  <c r="F357" i="15"/>
  <c r="H611" i="14"/>
  <c r="H606" i="14"/>
  <c r="H612" i="14"/>
  <c r="H605" i="14"/>
  <c r="H601" i="14"/>
  <c r="H607" i="14"/>
  <c r="H608" i="14"/>
  <c r="H588" i="14"/>
  <c r="H593" i="14"/>
  <c r="H609" i="14"/>
  <c r="H603" i="14"/>
  <c r="H610" i="14"/>
  <c r="H602" i="14"/>
  <c r="F475" i="14"/>
  <c r="H591" i="14"/>
  <c r="H595" i="14"/>
  <c r="F595" i="14"/>
  <c r="H590" i="14"/>
  <c r="F612" i="14"/>
  <c r="H594" i="14"/>
  <c r="F336" i="14"/>
  <c r="H592" i="14"/>
  <c r="H584" i="14"/>
  <c r="H510" i="14"/>
  <c r="H589" i="14"/>
  <c r="G510" i="14"/>
  <c r="E458" i="14"/>
  <c r="F458" i="14" s="1"/>
  <c r="N475" i="14"/>
  <c r="F372" i="14"/>
  <c r="G372" i="14"/>
  <c r="E441" i="14"/>
  <c r="N441" i="14"/>
  <c r="P441" i="14"/>
  <c r="N7" i="4" l="1"/>
  <c r="N8" i="4"/>
  <c r="M8" i="4"/>
  <c r="M7" i="4"/>
  <c r="H458" i="14"/>
  <c r="H441" i="14"/>
  <c r="F441" i="14"/>
</calcChain>
</file>

<file path=xl/sharedStrings.xml><?xml version="1.0" encoding="utf-8"?>
<sst xmlns="http://schemas.openxmlformats.org/spreadsheetml/2006/main" count="9281" uniqueCount="1046">
  <si>
    <t>证券研究报告</t>
  </si>
  <si>
    <t>动力电池行业数据库</t>
  </si>
  <si>
    <t>行业评级:</t>
  </si>
  <si>
    <t>增持</t>
  </si>
  <si>
    <t>010-83939805</t>
  </si>
  <si>
    <t>xuqiang@gtht.com</t>
  </si>
  <si>
    <t>S0880517040002</t>
  </si>
  <si>
    <t>0755-23976610</t>
  </si>
  <si>
    <t>moujunyu@gtht.com</t>
  </si>
  <si>
    <t>S0880521080003</t>
  </si>
  <si>
    <r>
      <rPr>
        <b/>
        <sz val="11"/>
        <color theme="4" tint="-0.249977111117893"/>
        <rFont val="楷体"/>
        <charset val="134"/>
      </rPr>
      <t>目录</t>
    </r>
  </si>
  <si>
    <r>
      <rPr>
        <b/>
        <sz val="11"/>
        <color theme="4" tint="-0.249977111117893"/>
        <rFont val="楷体"/>
        <charset val="134"/>
      </rPr>
      <t>数据来源</t>
    </r>
  </si>
  <si>
    <r>
      <rPr>
        <sz val="11"/>
        <color theme="4" tint="-0.249977111117893"/>
        <rFont val="楷体"/>
        <charset val="134"/>
      </rPr>
      <t>动力电池联盟</t>
    </r>
  </si>
  <si>
    <t>★ 请务必阅读最末页的重要声明</t>
  </si>
  <si>
    <t xml:space="preserve"> </t>
  </si>
  <si>
    <t>比亚迪</t>
  </si>
  <si>
    <t>CATL</t>
  </si>
  <si>
    <t>宁德时代</t>
  </si>
  <si>
    <t>松下</t>
  </si>
  <si>
    <t>LG化学</t>
  </si>
  <si>
    <t>LG新能源</t>
  </si>
  <si>
    <t>中创新航</t>
  </si>
  <si>
    <t>国轩高科</t>
  </si>
  <si>
    <t>AESC</t>
  </si>
  <si>
    <t>SKI</t>
  </si>
  <si>
    <t>SK On</t>
  </si>
  <si>
    <t>孚能科技</t>
  </si>
  <si>
    <t>中航锂电</t>
  </si>
  <si>
    <t>PEVE</t>
  </si>
  <si>
    <t>力神</t>
  </si>
  <si>
    <t>欣旺达</t>
  </si>
  <si>
    <t>-</t>
  </si>
  <si>
    <t>亿纬锂能</t>
  </si>
  <si>
    <t>SVOLT</t>
  </si>
  <si>
    <t>YoY</t>
  </si>
  <si>
    <t>蜂巢能源</t>
  </si>
  <si>
    <t>SK on</t>
  </si>
  <si>
    <t>4. 5%</t>
  </si>
  <si>
    <t>2. 2%</t>
  </si>
  <si>
    <t>SDI</t>
  </si>
  <si>
    <t>22H1</t>
  </si>
  <si>
    <t>21H1</t>
  </si>
  <si>
    <t>EVE</t>
  </si>
  <si>
    <t>25.4</t>
  </si>
  <si>
    <t>11.3</t>
  </si>
  <si>
    <t>BYD</t>
  </si>
  <si>
    <t>PPES</t>
  </si>
  <si>
    <t>合肥国轩</t>
  </si>
  <si>
    <t>力神电池</t>
  </si>
  <si>
    <t>比克</t>
  </si>
  <si>
    <t>时代上汽</t>
  </si>
  <si>
    <t>北京国能</t>
  </si>
  <si>
    <t>瑞浦能源</t>
  </si>
  <si>
    <t>塔菲尔新能源</t>
  </si>
  <si>
    <t>瑞浦兰钧</t>
  </si>
  <si>
    <t>比克电池</t>
  </si>
  <si>
    <t>正力新能</t>
  </si>
  <si>
    <t>卡耐新能源</t>
  </si>
  <si>
    <t>SK</t>
  </si>
  <si>
    <t>1. 32%</t>
  </si>
  <si>
    <t xml:space="preserve">  </t>
  </si>
  <si>
    <t>ft</t>
  </si>
  <si>
    <t>第三方数据更新不及时、口径不同数据存在差异等</t>
  </si>
  <si>
    <t>021-23183948</t>
    <phoneticPr fontId="14" type="noConversion"/>
  </si>
  <si>
    <t>liyiwen@gtht.com</t>
    <phoneticPr fontId="14" type="noConversion"/>
  </si>
  <si>
    <t>S0880125042249</t>
    <phoneticPr fontId="14" type="noConversion"/>
  </si>
  <si>
    <t>其中：三元</t>
    <phoneticPr fontId="14" type="noConversion"/>
  </si>
  <si>
    <t xml:space="preserve">  </t>
    <phoneticPr fontId="14" type="noConversion"/>
  </si>
  <si>
    <r>
      <rPr>
        <sz val="9"/>
        <color rgb="FF000000"/>
        <rFont val="微软雅黑"/>
        <family val="2"/>
        <charset val="134"/>
      </rPr>
      <t>宁德时代</t>
    </r>
  </si>
  <si>
    <r>
      <rPr>
        <sz val="9"/>
        <color rgb="FF000000"/>
        <rFont val="微软雅黑"/>
        <family val="2"/>
        <charset val="134"/>
      </rPr>
      <t>比亚迪</t>
    </r>
  </si>
  <si>
    <r>
      <rPr>
        <sz val="9"/>
        <color rgb="FF000000"/>
        <rFont val="微软雅黑"/>
        <family val="2"/>
        <charset val="134"/>
      </rPr>
      <t>国轩高科</t>
    </r>
  </si>
  <si>
    <r>
      <rPr>
        <sz val="9"/>
        <color rgb="FF000000"/>
        <rFont val="微软雅黑"/>
        <family val="2"/>
        <charset val="134"/>
      </rPr>
      <t>中创新航</t>
    </r>
  </si>
  <si>
    <r>
      <rPr>
        <sz val="9"/>
        <color rgb="FF000000"/>
        <rFont val="微软雅黑"/>
        <family val="2"/>
        <charset val="134"/>
      </rPr>
      <t>松下</t>
    </r>
  </si>
  <si>
    <r>
      <rPr>
        <sz val="9"/>
        <color rgb="FF000000"/>
        <rFont val="微软雅黑"/>
        <family val="2"/>
        <charset val="134"/>
      </rPr>
      <t>亿纬锂能</t>
    </r>
  </si>
  <si>
    <r>
      <rPr>
        <sz val="9"/>
        <color rgb="FF000000"/>
        <rFont val="微软雅黑"/>
        <family val="2"/>
        <charset val="134"/>
      </rPr>
      <t>蜂巢能源</t>
    </r>
  </si>
  <si>
    <r>
      <rPr>
        <sz val="9"/>
        <rFont val="微软雅黑"/>
        <family val="2"/>
        <charset val="134"/>
      </rPr>
      <t>全球</t>
    </r>
    <r>
      <rPr>
        <sz val="9"/>
        <rFont val="Arial"/>
        <family val="2"/>
      </rPr>
      <t>2025</t>
    </r>
    <r>
      <rPr>
        <sz val="9"/>
        <rFont val="微软雅黑"/>
        <family val="2"/>
        <charset val="134"/>
      </rPr>
      <t>年</t>
    </r>
    <r>
      <rPr>
        <sz val="9"/>
        <rFont val="Arial"/>
        <family val="2"/>
      </rPr>
      <t>11</t>
    </r>
    <r>
      <rPr>
        <sz val="9"/>
        <rFont val="微软雅黑"/>
        <family val="2"/>
        <charset val="134"/>
      </rPr>
      <t>月装机量企业排名</t>
    </r>
    <phoneticPr fontId="14" type="noConversion"/>
  </si>
  <si>
    <r>
      <rPr>
        <sz val="9"/>
        <rFont val="微软雅黑"/>
        <family val="2"/>
        <charset val="134"/>
      </rPr>
      <t>全球</t>
    </r>
    <r>
      <rPr>
        <sz val="9"/>
        <rFont val="Arial"/>
        <family val="2"/>
      </rPr>
      <t>2025</t>
    </r>
    <r>
      <rPr>
        <sz val="9"/>
        <rFont val="微软雅黑"/>
        <family val="2"/>
        <charset val="134"/>
      </rPr>
      <t>年</t>
    </r>
    <r>
      <rPr>
        <sz val="9"/>
        <rFont val="Arial"/>
        <family val="2"/>
      </rPr>
      <t>1-11</t>
    </r>
    <r>
      <rPr>
        <sz val="9"/>
        <rFont val="微软雅黑"/>
        <family val="2"/>
        <charset val="134"/>
      </rPr>
      <t>月装机量企业排名</t>
    </r>
    <phoneticPr fontId="14" type="noConversion"/>
  </si>
  <si>
    <r>
      <rPr>
        <sz val="9"/>
        <color rgb="FF000000"/>
        <rFont val="微软雅黑"/>
        <family val="2"/>
        <charset val="134"/>
      </rPr>
      <t>其他</t>
    </r>
  </si>
  <si>
    <r>
      <rPr>
        <sz val="9"/>
        <color rgb="FF000000"/>
        <rFont val="微软雅黑"/>
        <family val="2"/>
        <charset val="134"/>
      </rPr>
      <t>合计</t>
    </r>
  </si>
  <si>
    <r>
      <rPr>
        <sz val="9"/>
        <rFont val="微软雅黑"/>
        <family val="2"/>
        <charset val="134"/>
      </rPr>
      <t>全球</t>
    </r>
    <r>
      <rPr>
        <sz val="9"/>
        <rFont val="Arial"/>
        <family val="2"/>
      </rPr>
      <t>2025</t>
    </r>
    <r>
      <rPr>
        <sz val="9"/>
        <rFont val="微软雅黑"/>
        <family val="2"/>
        <charset val="134"/>
      </rPr>
      <t>年</t>
    </r>
    <r>
      <rPr>
        <sz val="9"/>
        <rFont val="Arial"/>
        <family val="2"/>
      </rPr>
      <t>10</t>
    </r>
    <r>
      <rPr>
        <sz val="9"/>
        <rFont val="微软雅黑"/>
        <family val="2"/>
        <charset val="134"/>
      </rPr>
      <t>月装机量企业排名</t>
    </r>
    <phoneticPr fontId="14" type="noConversion"/>
  </si>
  <si>
    <r>
      <rPr>
        <sz val="9"/>
        <rFont val="微软雅黑"/>
        <family val="2"/>
        <charset val="134"/>
      </rPr>
      <t>全球</t>
    </r>
    <r>
      <rPr>
        <sz val="9"/>
        <rFont val="Arial"/>
        <family val="2"/>
      </rPr>
      <t>2025</t>
    </r>
    <r>
      <rPr>
        <sz val="9"/>
        <rFont val="微软雅黑"/>
        <family val="2"/>
        <charset val="134"/>
      </rPr>
      <t>年</t>
    </r>
    <r>
      <rPr>
        <sz val="9"/>
        <rFont val="Arial"/>
        <family val="2"/>
      </rPr>
      <t>1-10</t>
    </r>
    <r>
      <rPr>
        <sz val="9"/>
        <rFont val="微软雅黑"/>
        <family val="2"/>
        <charset val="134"/>
      </rPr>
      <t>月装机量企业排名</t>
    </r>
    <phoneticPr fontId="14" type="noConversion"/>
  </si>
  <si>
    <r>
      <rPr>
        <sz val="9"/>
        <rFont val="微软雅黑"/>
        <family val="2"/>
        <charset val="134"/>
      </rPr>
      <t>全球</t>
    </r>
    <r>
      <rPr>
        <sz val="9"/>
        <rFont val="Arial"/>
        <family val="2"/>
      </rPr>
      <t>2025</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</si>
  <si>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1-9</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</si>
  <si>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</si>
  <si>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1-8</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</si>
  <si>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</si>
  <si>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1-7</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</si>
  <si>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</si>
  <si>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1-6</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</si>
  <si>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</si>
  <si>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1-5</t>
    </r>
    <r>
      <rPr>
        <sz val="9"/>
        <rFont val="微软雅黑"/>
        <family val="2"/>
        <charset val="134"/>
      </rPr>
      <t>月装机量企业排名</t>
    </r>
  </si>
  <si>
    <r>
      <rPr>
        <sz val="9"/>
        <color rgb="FF000000"/>
        <rFont val="微软雅黑"/>
        <family val="2"/>
        <charset val="134"/>
      </rPr>
      <t>总计</t>
    </r>
  </si>
  <si>
    <r>
      <rPr>
        <sz val="9"/>
        <rFont val="微软雅黑"/>
        <family val="2"/>
        <charset val="134"/>
      </rPr>
      <t>全球</t>
    </r>
    <r>
      <rPr>
        <sz val="9"/>
        <rFont val="Arial"/>
        <family val="2"/>
      </rPr>
      <t>2025</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</si>
  <si>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1-4</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</si>
  <si>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</si>
  <si>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1-3</t>
    </r>
    <r>
      <rPr>
        <sz val="9"/>
        <rFont val="微软雅黑"/>
        <family val="2"/>
        <charset val="134"/>
      </rPr>
      <t>月装机量企业排名</t>
    </r>
  </si>
  <si>
    <r>
      <rPr>
        <sz val="9"/>
        <rFont val="微软雅黑"/>
        <family val="2"/>
        <charset val="134"/>
      </rPr>
      <t>排名</t>
    </r>
  </si>
  <si>
    <r>
      <t>2024</t>
    </r>
    <r>
      <rPr>
        <sz val="9"/>
        <color theme="1"/>
        <rFont val="微软雅黑"/>
        <family val="2"/>
        <charset val="134"/>
      </rPr>
      <t>年占比</t>
    </r>
  </si>
  <si>
    <r>
      <rPr>
        <sz val="9"/>
        <color theme="1"/>
        <rFont val="微软雅黑"/>
        <family val="2"/>
        <charset val="134"/>
      </rPr>
      <t>宁德时代</t>
    </r>
  </si>
  <si>
    <r>
      <rPr>
        <sz val="9"/>
        <color theme="1"/>
        <rFont val="微软雅黑"/>
        <family val="2"/>
        <charset val="134"/>
      </rPr>
      <t>比亚迪</t>
    </r>
  </si>
  <si>
    <r>
      <rPr>
        <sz val="9"/>
        <color theme="1"/>
        <rFont val="微软雅黑"/>
        <family val="2"/>
        <charset val="134"/>
      </rPr>
      <t>中创新航</t>
    </r>
  </si>
  <si>
    <r>
      <rPr>
        <sz val="9"/>
        <color theme="1"/>
        <rFont val="微软雅黑"/>
        <family val="2"/>
        <charset val="134"/>
      </rPr>
      <t>国轩高科</t>
    </r>
  </si>
  <si>
    <r>
      <rPr>
        <sz val="9"/>
        <color theme="1"/>
        <rFont val="微软雅黑"/>
        <family val="2"/>
        <charset val="134"/>
      </rPr>
      <t>松下</t>
    </r>
  </si>
  <si>
    <r>
      <rPr>
        <sz val="9"/>
        <color theme="1"/>
        <rFont val="微软雅黑"/>
        <family val="2"/>
        <charset val="134"/>
      </rPr>
      <t>亿纬锂能</t>
    </r>
  </si>
  <si>
    <r>
      <rPr>
        <sz val="9"/>
        <color theme="1"/>
        <rFont val="微软雅黑"/>
        <family val="2"/>
        <charset val="134"/>
      </rPr>
      <t>蜂巢能源</t>
    </r>
  </si>
  <si>
    <r>
      <rPr>
        <sz val="9"/>
        <color theme="1"/>
        <rFont val="微软雅黑"/>
        <family val="2"/>
        <charset val="134"/>
      </rPr>
      <t>其他</t>
    </r>
  </si>
  <si>
    <r>
      <rPr>
        <sz val="9"/>
        <color theme="1"/>
        <rFont val="微软雅黑"/>
        <family val="2"/>
        <charset val="134"/>
      </rPr>
      <t>总计</t>
    </r>
  </si>
  <si>
    <r>
      <rPr>
        <sz val="9"/>
        <rFont val="微软雅黑"/>
        <family val="2"/>
        <charset val="134"/>
      </rPr>
      <t>全球</t>
    </r>
    <r>
      <rPr>
        <sz val="9"/>
        <rFont val="Arial"/>
        <family val="2"/>
      </rPr>
      <t>2025</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</si>
  <si>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全球</t>
    </r>
    <r>
      <rPr>
        <sz val="9"/>
        <rFont val="Arial"/>
        <family val="2"/>
      </rPr>
      <t>2025</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</si>
  <si>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宁德时代</t>
    </r>
  </si>
  <si>
    <r>
      <rPr>
        <sz val="9"/>
        <rFont val="微软雅黑"/>
        <family val="2"/>
        <charset val="134"/>
      </rPr>
      <t>比亚迪</t>
    </r>
  </si>
  <si>
    <r>
      <t>LG</t>
    </r>
    <r>
      <rPr>
        <sz val="9"/>
        <rFont val="微软雅黑"/>
        <family val="2"/>
        <charset val="134"/>
      </rPr>
      <t>新能源</t>
    </r>
  </si>
  <si>
    <r>
      <rPr>
        <sz val="9"/>
        <rFont val="微软雅黑"/>
        <family val="2"/>
        <charset val="134"/>
      </rPr>
      <t>松下</t>
    </r>
  </si>
  <si>
    <r>
      <rPr>
        <sz val="9"/>
        <rFont val="微软雅黑"/>
        <family val="2"/>
        <charset val="134"/>
      </rPr>
      <t>中创新航</t>
    </r>
  </si>
  <si>
    <r>
      <rPr>
        <sz val="9"/>
        <rFont val="微软雅黑"/>
        <family val="2"/>
        <charset val="134"/>
      </rPr>
      <t>国轩高科</t>
    </r>
  </si>
  <si>
    <r>
      <rPr>
        <sz val="9"/>
        <rFont val="微软雅黑"/>
        <family val="2"/>
        <charset val="134"/>
      </rPr>
      <t>三星</t>
    </r>
    <r>
      <rPr>
        <sz val="9"/>
        <rFont val="Arial"/>
        <family val="2"/>
      </rPr>
      <t>SDI</t>
    </r>
  </si>
  <si>
    <r>
      <rPr>
        <sz val="9"/>
        <rFont val="微软雅黑"/>
        <family val="2"/>
        <charset val="134"/>
      </rPr>
      <t>蜂巢能源</t>
    </r>
  </si>
  <si>
    <r>
      <rPr>
        <sz val="9"/>
        <rFont val="微软雅黑"/>
        <family val="2"/>
        <charset val="134"/>
      </rPr>
      <t>亿纬锂能</t>
    </r>
  </si>
  <si>
    <r>
      <rPr>
        <sz val="9"/>
        <rFont val="微软雅黑"/>
        <family val="2"/>
        <charset val="134"/>
      </rPr>
      <t>其他</t>
    </r>
  </si>
  <si>
    <r>
      <rPr>
        <sz val="9"/>
        <rFont val="微软雅黑"/>
        <family val="2"/>
        <charset val="134"/>
      </rPr>
      <t>总计</t>
    </r>
  </si>
  <si>
    <r>
      <rPr>
        <sz val="9"/>
        <rFont val="微软雅黑"/>
        <family val="2"/>
        <charset val="134"/>
      </rPr>
      <t>全球</t>
    </r>
    <r>
      <rPr>
        <sz val="9"/>
        <rFont val="Arial"/>
        <family val="2"/>
      </rPr>
      <t>2025</t>
    </r>
    <r>
      <rPr>
        <sz val="9"/>
        <rFont val="微软雅黑"/>
        <family val="2"/>
        <charset val="134"/>
      </rPr>
      <t>年</t>
    </r>
    <r>
      <rPr>
        <sz val="9"/>
        <rFont val="Arial"/>
        <family val="2"/>
      </rPr>
      <t>1</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</si>
  <si>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</si>
  <si>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1-12</t>
    </r>
    <r>
      <rPr>
        <sz val="9"/>
        <rFont val="微软雅黑"/>
        <family val="2"/>
        <charset val="134"/>
      </rPr>
      <t>月装机量企业排名</t>
    </r>
  </si>
  <si>
    <r>
      <rPr>
        <sz val="9"/>
        <color theme="1"/>
        <rFont val="微软雅黑"/>
        <family val="2"/>
        <charset val="134"/>
      </rPr>
      <t>企业</t>
    </r>
  </si>
  <si>
    <r>
      <t>2023</t>
    </r>
    <r>
      <rPr>
        <sz val="9"/>
        <color theme="1"/>
        <rFont val="微软雅黑"/>
        <family val="2"/>
        <charset val="134"/>
      </rPr>
      <t>年占比</t>
    </r>
  </si>
  <si>
    <r>
      <t>2024</t>
    </r>
    <r>
      <rPr>
        <sz val="9"/>
        <rFont val="微软雅黑"/>
        <family val="2"/>
        <charset val="134"/>
      </rPr>
      <t>年</t>
    </r>
    <r>
      <rPr>
        <sz val="9"/>
        <rFont val="Arial"/>
        <family val="2"/>
      </rPr>
      <t>1-12</t>
    </r>
    <r>
      <rPr>
        <sz val="9"/>
        <rFont val="微软雅黑"/>
        <family val="2"/>
        <charset val="134"/>
      </rPr>
      <t>月</t>
    </r>
  </si>
  <si>
    <r>
      <t>2023</t>
    </r>
    <r>
      <rPr>
        <sz val="9"/>
        <rFont val="微软雅黑"/>
        <family val="2"/>
        <charset val="134"/>
      </rPr>
      <t>年</t>
    </r>
    <r>
      <rPr>
        <sz val="9"/>
        <rFont val="Arial"/>
        <family val="2"/>
      </rPr>
      <t>1-12</t>
    </r>
    <r>
      <rPr>
        <sz val="9"/>
        <rFont val="微软雅黑"/>
        <family val="2"/>
        <charset val="134"/>
      </rPr>
      <t>月</t>
    </r>
  </si>
  <si>
    <r>
      <t>LG</t>
    </r>
    <r>
      <rPr>
        <sz val="9"/>
        <color rgb="FF000000"/>
        <rFont val="微软雅黑"/>
        <family val="2"/>
        <charset val="134"/>
      </rPr>
      <t>新能源</t>
    </r>
  </si>
  <si>
    <r>
      <rPr>
        <sz val="9"/>
        <color rgb="FF000000"/>
        <rFont val="微软雅黑"/>
        <family val="2"/>
        <charset val="134"/>
      </rPr>
      <t>三星</t>
    </r>
    <r>
      <rPr>
        <sz val="9"/>
        <color rgb="FF000000"/>
        <rFont val="Arial"/>
        <family val="2"/>
      </rPr>
      <t>SDI</t>
    </r>
  </si>
  <si>
    <r>
      <rPr>
        <sz val="9"/>
        <color rgb="FF000000"/>
        <rFont val="微软雅黑"/>
        <family val="2"/>
        <charset val="134"/>
      </rPr>
      <t>欣旺达</t>
    </r>
  </si>
  <si>
    <r>
      <rPr>
        <sz val="9"/>
        <color theme="1"/>
        <rFont val="微软雅黑"/>
        <family val="2"/>
        <charset val="134"/>
      </rPr>
      <t>合计</t>
    </r>
  </si>
  <si>
    <r>
      <rPr>
        <sz val="9"/>
        <rFont val="微软雅黑"/>
        <family val="2"/>
        <charset val="134"/>
      </rPr>
      <t>全球</t>
    </r>
    <r>
      <rPr>
        <sz val="9"/>
        <rFont val="Arial"/>
        <family val="2"/>
      </rPr>
      <t>2024</t>
    </r>
    <r>
      <rPr>
        <sz val="9"/>
        <rFont val="微软雅黑"/>
        <family val="2"/>
        <charset val="134"/>
      </rPr>
      <t>年</t>
    </r>
    <r>
      <rPr>
        <sz val="9"/>
        <rFont val="Arial"/>
        <family val="2"/>
      </rPr>
      <t>11</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</si>
  <si>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1-11</t>
    </r>
    <r>
      <rPr>
        <sz val="9"/>
        <rFont val="微软雅黑"/>
        <family val="2"/>
        <charset val="134"/>
      </rPr>
      <t>月装机量企业排名</t>
    </r>
  </si>
  <si>
    <r>
      <t>2024</t>
    </r>
    <r>
      <rPr>
        <sz val="9"/>
        <color theme="1"/>
        <rFont val="微软雅黑"/>
        <family val="2"/>
        <charset val="134"/>
      </rPr>
      <t>年</t>
    </r>
    <r>
      <rPr>
        <sz val="9"/>
        <color theme="1"/>
        <rFont val="Arial"/>
        <family val="2"/>
      </rPr>
      <t>1-11</t>
    </r>
    <r>
      <rPr>
        <sz val="9"/>
        <color theme="1"/>
        <rFont val="微软雅黑"/>
        <family val="2"/>
        <charset val="134"/>
      </rPr>
      <t>月</t>
    </r>
  </si>
  <si>
    <r>
      <t>2023</t>
    </r>
    <r>
      <rPr>
        <sz val="9"/>
        <color theme="1"/>
        <rFont val="微软雅黑"/>
        <family val="2"/>
        <charset val="134"/>
      </rPr>
      <t>年</t>
    </r>
    <r>
      <rPr>
        <sz val="9"/>
        <color theme="1"/>
        <rFont val="Arial"/>
        <family val="2"/>
      </rPr>
      <t>1-11</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</si>
  <si>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10</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</si>
  <si>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1-10</t>
    </r>
    <r>
      <rPr>
        <sz val="9"/>
        <rFont val="微软雅黑"/>
        <family val="2"/>
        <charset val="134"/>
      </rPr>
      <t>月装机量企业排名</t>
    </r>
  </si>
  <si>
    <r>
      <t>2024</t>
    </r>
    <r>
      <rPr>
        <sz val="9"/>
        <color theme="1"/>
        <rFont val="微软雅黑"/>
        <family val="2"/>
        <charset val="134"/>
      </rPr>
      <t>年</t>
    </r>
    <r>
      <rPr>
        <sz val="9"/>
        <color theme="1"/>
        <rFont val="Arial"/>
        <family val="2"/>
      </rPr>
      <t>1-10</t>
    </r>
    <r>
      <rPr>
        <sz val="9"/>
        <color theme="1"/>
        <rFont val="微软雅黑"/>
        <family val="2"/>
        <charset val="134"/>
      </rPr>
      <t>月</t>
    </r>
  </si>
  <si>
    <r>
      <t>2023</t>
    </r>
    <r>
      <rPr>
        <sz val="9"/>
        <color theme="1"/>
        <rFont val="微软雅黑"/>
        <family val="2"/>
        <charset val="134"/>
      </rPr>
      <t>年</t>
    </r>
    <r>
      <rPr>
        <sz val="9"/>
        <color theme="1"/>
        <rFont val="Arial"/>
        <family val="2"/>
      </rPr>
      <t>1-10</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</si>
  <si>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</si>
  <si>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1-9</t>
    </r>
    <r>
      <rPr>
        <sz val="9"/>
        <rFont val="微软雅黑"/>
        <family val="2"/>
        <charset val="134"/>
      </rPr>
      <t>月装机量企业排名</t>
    </r>
  </si>
  <si>
    <r>
      <t>2024</t>
    </r>
    <r>
      <rPr>
        <sz val="9"/>
        <color theme="1"/>
        <rFont val="微软雅黑"/>
        <family val="2"/>
        <charset val="134"/>
      </rPr>
      <t>年</t>
    </r>
    <r>
      <rPr>
        <sz val="9"/>
        <color theme="1"/>
        <rFont val="Arial"/>
        <family val="2"/>
      </rPr>
      <t>1-9</t>
    </r>
    <r>
      <rPr>
        <sz val="9"/>
        <color theme="1"/>
        <rFont val="微软雅黑"/>
        <family val="2"/>
        <charset val="134"/>
      </rPr>
      <t>月</t>
    </r>
  </si>
  <si>
    <r>
      <t>2023</t>
    </r>
    <r>
      <rPr>
        <sz val="9"/>
        <color theme="1"/>
        <rFont val="微软雅黑"/>
        <family val="2"/>
        <charset val="134"/>
      </rPr>
      <t>年</t>
    </r>
    <r>
      <rPr>
        <sz val="9"/>
        <color theme="1"/>
        <rFont val="Arial"/>
        <family val="2"/>
      </rPr>
      <t>1-9</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</si>
  <si>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</si>
  <si>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1-8</t>
    </r>
    <r>
      <rPr>
        <sz val="9"/>
        <rFont val="微软雅黑"/>
        <family val="2"/>
        <charset val="134"/>
      </rPr>
      <t>月装机量企业排名</t>
    </r>
  </si>
  <si>
    <r>
      <t>2024</t>
    </r>
    <r>
      <rPr>
        <sz val="9"/>
        <color theme="1"/>
        <rFont val="微软雅黑"/>
        <family val="2"/>
        <charset val="134"/>
      </rPr>
      <t>年</t>
    </r>
    <r>
      <rPr>
        <sz val="9"/>
        <color theme="1"/>
        <rFont val="Arial"/>
        <family val="2"/>
      </rPr>
      <t>1-8</t>
    </r>
    <r>
      <rPr>
        <sz val="9"/>
        <color theme="1"/>
        <rFont val="微软雅黑"/>
        <family val="2"/>
        <charset val="134"/>
      </rPr>
      <t>月</t>
    </r>
  </si>
  <si>
    <r>
      <t>2023</t>
    </r>
    <r>
      <rPr>
        <sz val="9"/>
        <color theme="1"/>
        <rFont val="微软雅黑"/>
        <family val="2"/>
        <charset val="134"/>
      </rPr>
      <t>年</t>
    </r>
    <r>
      <rPr>
        <sz val="9"/>
        <color theme="1"/>
        <rFont val="Arial"/>
        <family val="2"/>
      </rPr>
      <t>1-8</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</si>
  <si>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</si>
  <si>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1-7</t>
    </r>
    <r>
      <rPr>
        <sz val="9"/>
        <rFont val="微软雅黑"/>
        <family val="2"/>
        <charset val="134"/>
      </rPr>
      <t>月装机量企业排名</t>
    </r>
  </si>
  <si>
    <r>
      <t>2024</t>
    </r>
    <r>
      <rPr>
        <sz val="9"/>
        <color theme="1"/>
        <rFont val="微软雅黑"/>
        <family val="2"/>
        <charset val="134"/>
      </rPr>
      <t>年</t>
    </r>
    <r>
      <rPr>
        <sz val="9"/>
        <color theme="1"/>
        <rFont val="Arial"/>
        <family val="2"/>
      </rPr>
      <t>1-7</t>
    </r>
    <r>
      <rPr>
        <sz val="9"/>
        <color theme="1"/>
        <rFont val="微软雅黑"/>
        <family val="2"/>
        <charset val="134"/>
      </rPr>
      <t>月</t>
    </r>
  </si>
  <si>
    <r>
      <t>2023</t>
    </r>
    <r>
      <rPr>
        <sz val="9"/>
        <color theme="1"/>
        <rFont val="微软雅黑"/>
        <family val="2"/>
        <charset val="134"/>
      </rPr>
      <t>年</t>
    </r>
    <r>
      <rPr>
        <sz val="9"/>
        <color theme="1"/>
        <rFont val="Arial"/>
        <family val="2"/>
      </rPr>
      <t>1-7</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</si>
  <si>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</si>
  <si>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1-6</t>
    </r>
    <r>
      <rPr>
        <sz val="9"/>
        <rFont val="微软雅黑"/>
        <family val="2"/>
        <charset val="134"/>
      </rPr>
      <t>月装机量企业排名</t>
    </r>
  </si>
  <si>
    <r>
      <t>2024</t>
    </r>
    <r>
      <rPr>
        <sz val="9"/>
        <color theme="1"/>
        <rFont val="微软雅黑"/>
        <family val="2"/>
        <charset val="134"/>
      </rPr>
      <t>年</t>
    </r>
    <r>
      <rPr>
        <sz val="9"/>
        <color theme="1"/>
        <rFont val="Arial"/>
        <family val="2"/>
      </rPr>
      <t>1-6</t>
    </r>
    <r>
      <rPr>
        <sz val="9"/>
        <color theme="1"/>
        <rFont val="微软雅黑"/>
        <family val="2"/>
        <charset val="134"/>
      </rPr>
      <t>月</t>
    </r>
  </si>
  <si>
    <r>
      <t>2023</t>
    </r>
    <r>
      <rPr>
        <sz val="9"/>
        <color theme="1"/>
        <rFont val="微软雅黑"/>
        <family val="2"/>
        <charset val="134"/>
      </rPr>
      <t>年</t>
    </r>
    <r>
      <rPr>
        <sz val="9"/>
        <color theme="1"/>
        <rFont val="Arial"/>
        <family val="2"/>
      </rPr>
      <t>1-6</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</si>
  <si>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</si>
  <si>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1-5</t>
    </r>
    <r>
      <rPr>
        <sz val="9"/>
        <rFont val="微软雅黑"/>
        <family val="2"/>
        <charset val="134"/>
      </rPr>
      <t>月装机量企业排名</t>
    </r>
  </si>
  <si>
    <r>
      <t>2024</t>
    </r>
    <r>
      <rPr>
        <sz val="9"/>
        <color theme="1"/>
        <rFont val="微软雅黑"/>
        <family val="2"/>
        <charset val="134"/>
      </rPr>
      <t>年</t>
    </r>
    <r>
      <rPr>
        <sz val="9"/>
        <color theme="1"/>
        <rFont val="Arial"/>
        <family val="2"/>
      </rPr>
      <t>1-5</t>
    </r>
    <r>
      <rPr>
        <sz val="9"/>
        <color theme="1"/>
        <rFont val="微软雅黑"/>
        <family val="2"/>
        <charset val="134"/>
      </rPr>
      <t>月</t>
    </r>
  </si>
  <si>
    <r>
      <t>2023</t>
    </r>
    <r>
      <rPr>
        <sz val="9"/>
        <color theme="1"/>
        <rFont val="微软雅黑"/>
        <family val="2"/>
        <charset val="134"/>
      </rPr>
      <t>年</t>
    </r>
    <r>
      <rPr>
        <sz val="9"/>
        <color theme="1"/>
        <rFont val="Arial"/>
        <family val="2"/>
      </rPr>
      <t>1-5</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</si>
  <si>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</si>
  <si>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1-4</t>
    </r>
    <r>
      <rPr>
        <sz val="9"/>
        <rFont val="微软雅黑"/>
        <family val="2"/>
        <charset val="134"/>
      </rPr>
      <t>月装机量企业排名</t>
    </r>
  </si>
  <si>
    <r>
      <t>2024</t>
    </r>
    <r>
      <rPr>
        <sz val="9"/>
        <color theme="1"/>
        <rFont val="微软雅黑"/>
        <family val="2"/>
        <charset val="134"/>
      </rPr>
      <t>年</t>
    </r>
    <r>
      <rPr>
        <sz val="9"/>
        <color theme="1"/>
        <rFont val="Arial"/>
        <family val="2"/>
      </rPr>
      <t>1-4</t>
    </r>
    <r>
      <rPr>
        <sz val="9"/>
        <color theme="1"/>
        <rFont val="微软雅黑"/>
        <family val="2"/>
        <charset val="134"/>
      </rPr>
      <t>月</t>
    </r>
  </si>
  <si>
    <r>
      <t>2023</t>
    </r>
    <r>
      <rPr>
        <sz val="9"/>
        <color theme="1"/>
        <rFont val="微软雅黑"/>
        <family val="2"/>
        <charset val="134"/>
      </rPr>
      <t>年</t>
    </r>
    <r>
      <rPr>
        <sz val="9"/>
        <color theme="1"/>
        <rFont val="Arial"/>
        <family val="2"/>
      </rPr>
      <t>1-4</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</si>
  <si>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</si>
  <si>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1-3</t>
    </r>
    <r>
      <rPr>
        <sz val="9"/>
        <rFont val="微软雅黑"/>
        <family val="2"/>
        <charset val="134"/>
      </rPr>
      <t>月装机量企业排名</t>
    </r>
  </si>
  <si>
    <r>
      <t>2024</t>
    </r>
    <r>
      <rPr>
        <sz val="9"/>
        <color theme="1"/>
        <rFont val="微软雅黑"/>
        <family val="2"/>
        <charset val="134"/>
      </rPr>
      <t>年</t>
    </r>
    <r>
      <rPr>
        <sz val="9"/>
        <color theme="1"/>
        <rFont val="Arial"/>
        <family val="2"/>
      </rPr>
      <t>1-3</t>
    </r>
    <r>
      <rPr>
        <sz val="9"/>
        <color theme="1"/>
        <rFont val="微软雅黑"/>
        <family val="2"/>
        <charset val="134"/>
      </rPr>
      <t>月</t>
    </r>
  </si>
  <si>
    <r>
      <t>2023</t>
    </r>
    <r>
      <rPr>
        <sz val="9"/>
        <color theme="1"/>
        <rFont val="微软雅黑"/>
        <family val="2"/>
        <charset val="134"/>
      </rPr>
      <t>年</t>
    </r>
    <r>
      <rPr>
        <sz val="9"/>
        <color theme="1"/>
        <rFont val="Arial"/>
        <family val="2"/>
      </rPr>
      <t>1-3</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</si>
  <si>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</si>
  <si>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全球</t>
    </r>
    <r>
      <rPr>
        <sz val="9"/>
        <rFont val="Arial"/>
        <family val="2"/>
      </rPr>
      <t>2024</t>
    </r>
    <r>
      <rPr>
        <sz val="9"/>
        <rFont val="微软雅黑"/>
        <family val="2"/>
        <charset val="134"/>
      </rPr>
      <t>年</t>
    </r>
    <r>
      <rPr>
        <sz val="9"/>
        <rFont val="Arial"/>
        <family val="2"/>
      </rPr>
      <t>1-2</t>
    </r>
    <r>
      <rPr>
        <sz val="9"/>
        <rFont val="微软雅黑"/>
        <family val="2"/>
        <charset val="134"/>
      </rPr>
      <t>月装机量企业排名</t>
    </r>
  </si>
  <si>
    <r>
      <t>2024</t>
    </r>
    <r>
      <rPr>
        <sz val="9"/>
        <color theme="1"/>
        <rFont val="微软雅黑"/>
        <family val="2"/>
        <charset val="134"/>
      </rPr>
      <t>年</t>
    </r>
    <r>
      <rPr>
        <sz val="9"/>
        <color theme="1"/>
        <rFont val="Arial"/>
        <family val="2"/>
      </rPr>
      <t>1-2</t>
    </r>
    <r>
      <rPr>
        <sz val="9"/>
        <color theme="1"/>
        <rFont val="微软雅黑"/>
        <family val="2"/>
        <charset val="134"/>
      </rPr>
      <t>月</t>
    </r>
  </si>
  <si>
    <r>
      <t>2023</t>
    </r>
    <r>
      <rPr>
        <sz val="9"/>
        <color theme="1"/>
        <rFont val="微软雅黑"/>
        <family val="2"/>
        <charset val="134"/>
      </rPr>
      <t>年</t>
    </r>
    <r>
      <rPr>
        <sz val="9"/>
        <color theme="1"/>
        <rFont val="Arial"/>
        <family val="2"/>
      </rPr>
      <t>1-2</t>
    </r>
    <r>
      <rPr>
        <sz val="9"/>
        <color theme="1"/>
        <rFont val="微软雅黑"/>
        <family val="2"/>
        <charset val="134"/>
      </rPr>
      <t>月</t>
    </r>
  </si>
  <si>
    <r>
      <rPr>
        <sz val="9"/>
        <rFont val="微软雅黑"/>
        <family val="2"/>
        <charset val="134"/>
      </rPr>
      <t>全球</t>
    </r>
    <r>
      <rPr>
        <sz val="9"/>
        <rFont val="Arial"/>
        <family val="2"/>
      </rPr>
      <t>2024</t>
    </r>
    <r>
      <rPr>
        <sz val="9"/>
        <rFont val="微软雅黑"/>
        <family val="2"/>
        <charset val="134"/>
      </rPr>
      <t>年</t>
    </r>
    <r>
      <rPr>
        <sz val="9"/>
        <rFont val="Arial"/>
        <family val="2"/>
      </rPr>
      <t>1</t>
    </r>
    <r>
      <rPr>
        <sz val="9"/>
        <rFont val="微软雅黑"/>
        <family val="2"/>
        <charset val="134"/>
      </rPr>
      <t>月装机量企业排名</t>
    </r>
  </si>
  <si>
    <r>
      <t>LG</t>
    </r>
    <r>
      <rPr>
        <sz val="9"/>
        <color theme="1"/>
        <rFont val="微软雅黑"/>
        <family val="2"/>
        <charset val="134"/>
      </rPr>
      <t>新能源</t>
    </r>
  </si>
  <si>
    <r>
      <rPr>
        <sz val="9"/>
        <color theme="1"/>
        <rFont val="微软雅黑"/>
        <family val="2"/>
        <charset val="134"/>
      </rPr>
      <t>三星</t>
    </r>
    <r>
      <rPr>
        <sz val="9"/>
        <color theme="1"/>
        <rFont val="Arial"/>
        <family val="2"/>
      </rPr>
      <t>SDI</t>
    </r>
  </si>
  <si>
    <r>
      <rPr>
        <sz val="9"/>
        <rFont val="微软雅黑"/>
        <family val="2"/>
        <charset val="134"/>
      </rPr>
      <t>全球</t>
    </r>
    <r>
      <rPr>
        <sz val="9"/>
        <rFont val="Arial"/>
        <family val="2"/>
      </rPr>
      <t>2023</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</si>
  <si>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1-12</t>
    </r>
    <r>
      <rPr>
        <sz val="9"/>
        <rFont val="微软雅黑"/>
        <family val="2"/>
        <charset val="134"/>
      </rPr>
      <t>月装机量企业排名</t>
    </r>
  </si>
  <si>
    <r>
      <t>2022</t>
    </r>
    <r>
      <rPr>
        <sz val="9"/>
        <color theme="1"/>
        <rFont val="微软雅黑"/>
        <family val="2"/>
        <charset val="134"/>
      </rPr>
      <t>年占比</t>
    </r>
  </si>
  <si>
    <r>
      <t>2023</t>
    </r>
    <r>
      <rPr>
        <sz val="9"/>
        <color theme="1"/>
        <rFont val="微软雅黑"/>
        <family val="2"/>
        <charset val="134"/>
      </rPr>
      <t>年</t>
    </r>
    <r>
      <rPr>
        <sz val="9"/>
        <color theme="1"/>
        <rFont val="Arial"/>
        <family val="2"/>
      </rPr>
      <t>1-12</t>
    </r>
    <r>
      <rPr>
        <sz val="9"/>
        <color theme="1"/>
        <rFont val="微软雅黑"/>
        <family val="2"/>
        <charset val="134"/>
      </rPr>
      <t>月</t>
    </r>
  </si>
  <si>
    <r>
      <t>2022</t>
    </r>
    <r>
      <rPr>
        <sz val="9"/>
        <color theme="1"/>
        <rFont val="微软雅黑"/>
        <family val="2"/>
        <charset val="134"/>
      </rPr>
      <t>年</t>
    </r>
    <r>
      <rPr>
        <sz val="9"/>
        <color theme="1"/>
        <rFont val="Arial"/>
        <family val="2"/>
      </rPr>
      <t>1-12</t>
    </r>
    <r>
      <rPr>
        <sz val="9"/>
        <color theme="1"/>
        <rFont val="微软雅黑"/>
        <family val="2"/>
        <charset val="134"/>
      </rPr>
      <t>月</t>
    </r>
  </si>
  <si>
    <r>
      <t>2023</t>
    </r>
    <r>
      <rPr>
        <sz val="9"/>
        <color rgb="FF000000"/>
        <rFont val="微软雅黑"/>
        <family val="2"/>
        <charset val="134"/>
      </rPr>
      <t>年占比</t>
    </r>
  </si>
  <si>
    <r>
      <t>2022</t>
    </r>
    <r>
      <rPr>
        <sz val="9"/>
        <color rgb="FF000000"/>
        <rFont val="微软雅黑"/>
        <family val="2"/>
        <charset val="134"/>
      </rPr>
      <t>年占比</t>
    </r>
  </si>
  <si>
    <r>
      <rPr>
        <sz val="9"/>
        <color theme="1"/>
        <rFont val="微软雅黑"/>
        <family val="2"/>
        <charset val="134"/>
      </rPr>
      <t>欣旺达</t>
    </r>
  </si>
  <si>
    <r>
      <rPr>
        <sz val="9"/>
        <rFont val="微软雅黑"/>
        <family val="2"/>
        <charset val="134"/>
      </rPr>
      <t>全球</t>
    </r>
    <r>
      <rPr>
        <sz val="9"/>
        <rFont val="Arial"/>
        <family val="2"/>
      </rPr>
      <t>2023</t>
    </r>
    <r>
      <rPr>
        <sz val="9"/>
        <rFont val="微软雅黑"/>
        <family val="2"/>
        <charset val="134"/>
      </rPr>
      <t>年</t>
    </r>
    <r>
      <rPr>
        <sz val="9"/>
        <rFont val="Arial"/>
        <family val="2"/>
      </rPr>
      <t>11</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</si>
  <si>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1-11</t>
    </r>
    <r>
      <rPr>
        <sz val="9"/>
        <rFont val="微软雅黑"/>
        <family val="2"/>
        <charset val="134"/>
      </rPr>
      <t>月装机量企业排名</t>
    </r>
  </si>
  <si>
    <r>
      <t>2022</t>
    </r>
    <r>
      <rPr>
        <sz val="9"/>
        <color theme="1"/>
        <rFont val="微软雅黑"/>
        <family val="2"/>
        <charset val="134"/>
      </rPr>
      <t>年</t>
    </r>
    <r>
      <rPr>
        <sz val="9"/>
        <color theme="1"/>
        <rFont val="Arial"/>
        <family val="2"/>
      </rPr>
      <t>1-11</t>
    </r>
    <r>
      <rPr>
        <sz val="9"/>
        <color theme="1"/>
        <rFont val="微软雅黑"/>
        <family val="2"/>
        <charset val="134"/>
      </rPr>
      <t>月</t>
    </r>
  </si>
  <si>
    <r>
      <rPr>
        <sz val="9"/>
        <color theme="1"/>
        <rFont val="微软雅黑"/>
        <family val="2"/>
        <charset val="134"/>
      </rPr>
      <t>孚能科技</t>
    </r>
  </si>
  <si>
    <r>
      <rPr>
        <sz val="9"/>
        <rFont val="微软雅黑"/>
        <family val="2"/>
        <charset val="134"/>
      </rPr>
      <t>全球</t>
    </r>
    <r>
      <rPr>
        <sz val="9"/>
        <rFont val="Arial"/>
        <family val="2"/>
      </rPr>
      <t>2023</t>
    </r>
    <r>
      <rPr>
        <sz val="9"/>
        <rFont val="微软雅黑"/>
        <family val="2"/>
        <charset val="134"/>
      </rPr>
      <t>年</t>
    </r>
    <r>
      <rPr>
        <sz val="9"/>
        <rFont val="Arial"/>
        <family val="2"/>
      </rPr>
      <t>10</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</si>
  <si>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1-10</t>
    </r>
    <r>
      <rPr>
        <sz val="9"/>
        <rFont val="微软雅黑"/>
        <family val="2"/>
        <charset val="134"/>
      </rPr>
      <t>月装机量企业排名</t>
    </r>
  </si>
  <si>
    <r>
      <t>2022</t>
    </r>
    <r>
      <rPr>
        <sz val="9"/>
        <color theme="1"/>
        <rFont val="微软雅黑"/>
        <family val="2"/>
        <charset val="134"/>
      </rPr>
      <t>年</t>
    </r>
    <r>
      <rPr>
        <sz val="9"/>
        <color theme="1"/>
        <rFont val="Arial"/>
        <family val="2"/>
      </rPr>
      <t>1-10</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</si>
  <si>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</si>
  <si>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1-9</t>
    </r>
    <r>
      <rPr>
        <sz val="9"/>
        <rFont val="微软雅黑"/>
        <family val="2"/>
        <charset val="134"/>
      </rPr>
      <t>月装机量企业排名</t>
    </r>
  </si>
  <si>
    <r>
      <t>2022</t>
    </r>
    <r>
      <rPr>
        <sz val="9"/>
        <color theme="1"/>
        <rFont val="微软雅黑"/>
        <family val="2"/>
        <charset val="134"/>
      </rPr>
      <t>年</t>
    </r>
    <r>
      <rPr>
        <sz val="9"/>
        <color theme="1"/>
        <rFont val="Arial"/>
        <family val="2"/>
      </rPr>
      <t>1-9</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</si>
  <si>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</si>
  <si>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1-8</t>
    </r>
    <r>
      <rPr>
        <sz val="9"/>
        <rFont val="微软雅黑"/>
        <family val="2"/>
        <charset val="134"/>
      </rPr>
      <t>月装机量企业排名</t>
    </r>
  </si>
  <si>
    <r>
      <t>2022</t>
    </r>
    <r>
      <rPr>
        <sz val="9"/>
        <color theme="1"/>
        <rFont val="微软雅黑"/>
        <family val="2"/>
        <charset val="134"/>
      </rPr>
      <t>年</t>
    </r>
    <r>
      <rPr>
        <sz val="9"/>
        <color theme="1"/>
        <rFont val="Arial"/>
        <family val="2"/>
      </rPr>
      <t>1-8</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</si>
  <si>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</si>
  <si>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1-7</t>
    </r>
    <r>
      <rPr>
        <sz val="9"/>
        <rFont val="微软雅黑"/>
        <family val="2"/>
        <charset val="134"/>
      </rPr>
      <t>月装机量企业排名</t>
    </r>
  </si>
  <si>
    <r>
      <t>2022</t>
    </r>
    <r>
      <rPr>
        <sz val="9"/>
        <color theme="1"/>
        <rFont val="微软雅黑"/>
        <family val="2"/>
        <charset val="134"/>
      </rPr>
      <t>年</t>
    </r>
    <r>
      <rPr>
        <sz val="9"/>
        <color theme="1"/>
        <rFont val="Arial"/>
        <family val="2"/>
      </rPr>
      <t>1-7</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</si>
  <si>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</si>
  <si>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1-6</t>
    </r>
    <r>
      <rPr>
        <sz val="9"/>
        <rFont val="微软雅黑"/>
        <family val="2"/>
        <charset val="134"/>
      </rPr>
      <t>月装机量企业排名</t>
    </r>
  </si>
  <si>
    <r>
      <t>2022</t>
    </r>
    <r>
      <rPr>
        <sz val="9"/>
        <color theme="1"/>
        <rFont val="微软雅黑"/>
        <family val="2"/>
        <charset val="134"/>
      </rPr>
      <t>年</t>
    </r>
    <r>
      <rPr>
        <sz val="9"/>
        <color theme="1"/>
        <rFont val="Arial"/>
        <family val="2"/>
      </rPr>
      <t>1-6</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</si>
  <si>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</si>
  <si>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1-5</t>
    </r>
    <r>
      <rPr>
        <sz val="9"/>
        <rFont val="微软雅黑"/>
        <family val="2"/>
        <charset val="134"/>
      </rPr>
      <t>月装机量企业排名</t>
    </r>
  </si>
  <si>
    <r>
      <t>2022</t>
    </r>
    <r>
      <rPr>
        <sz val="9"/>
        <color theme="1"/>
        <rFont val="微软雅黑"/>
        <family val="2"/>
        <charset val="134"/>
      </rPr>
      <t>年</t>
    </r>
    <r>
      <rPr>
        <sz val="9"/>
        <color theme="1"/>
        <rFont val="Arial"/>
        <family val="2"/>
      </rPr>
      <t>1-5</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</si>
  <si>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</si>
  <si>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1-4</t>
    </r>
    <r>
      <rPr>
        <sz val="9"/>
        <rFont val="微软雅黑"/>
        <family val="2"/>
        <charset val="134"/>
      </rPr>
      <t>月装机量企业排名</t>
    </r>
  </si>
  <si>
    <r>
      <t>2022</t>
    </r>
    <r>
      <rPr>
        <sz val="9"/>
        <color theme="1"/>
        <rFont val="微软雅黑"/>
        <family val="2"/>
        <charset val="134"/>
      </rPr>
      <t>年</t>
    </r>
    <r>
      <rPr>
        <sz val="9"/>
        <color theme="1"/>
        <rFont val="Arial"/>
        <family val="2"/>
      </rPr>
      <t>1-4</t>
    </r>
    <r>
      <rPr>
        <sz val="9"/>
        <color theme="1"/>
        <rFont val="微软雅黑"/>
        <family val="2"/>
        <charset val="134"/>
      </rPr>
      <t>月</t>
    </r>
  </si>
  <si>
    <r>
      <rPr>
        <sz val="9"/>
        <color theme="1"/>
        <rFont val="微软雅黑"/>
        <family val="2"/>
        <charset val="134"/>
      </rPr>
      <t>其它</t>
    </r>
  </si>
  <si>
    <r>
      <rPr>
        <sz val="9"/>
        <rFont val="微软雅黑"/>
        <family val="2"/>
        <charset val="134"/>
      </rPr>
      <t>全球</t>
    </r>
    <r>
      <rPr>
        <sz val="9"/>
        <rFont val="Arial"/>
        <family val="2"/>
      </rPr>
      <t>2023</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</si>
  <si>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1-3</t>
    </r>
    <r>
      <rPr>
        <sz val="9"/>
        <rFont val="微软雅黑"/>
        <family val="2"/>
        <charset val="134"/>
      </rPr>
      <t>月装机量企业排名</t>
    </r>
  </si>
  <si>
    <r>
      <t>2022</t>
    </r>
    <r>
      <rPr>
        <sz val="9"/>
        <color theme="1"/>
        <rFont val="微软雅黑"/>
        <family val="2"/>
        <charset val="134"/>
      </rPr>
      <t>年</t>
    </r>
    <r>
      <rPr>
        <sz val="9"/>
        <color theme="1"/>
        <rFont val="Arial"/>
        <family val="2"/>
      </rPr>
      <t>1-3</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</si>
  <si>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</si>
  <si>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全球</t>
    </r>
    <r>
      <rPr>
        <sz val="9"/>
        <rFont val="Arial"/>
        <family val="2"/>
      </rPr>
      <t>2023</t>
    </r>
    <r>
      <rPr>
        <sz val="9"/>
        <rFont val="微软雅黑"/>
        <family val="2"/>
        <charset val="134"/>
      </rPr>
      <t>年</t>
    </r>
    <r>
      <rPr>
        <sz val="9"/>
        <rFont val="Arial"/>
        <family val="2"/>
      </rPr>
      <t>1-2</t>
    </r>
    <r>
      <rPr>
        <sz val="9"/>
        <rFont val="微软雅黑"/>
        <family val="2"/>
        <charset val="134"/>
      </rPr>
      <t>月装机量企业排名</t>
    </r>
  </si>
  <si>
    <r>
      <t>2022</t>
    </r>
    <r>
      <rPr>
        <sz val="9"/>
        <color theme="1"/>
        <rFont val="微软雅黑"/>
        <family val="2"/>
        <charset val="134"/>
      </rPr>
      <t>年</t>
    </r>
    <r>
      <rPr>
        <sz val="9"/>
        <color theme="1"/>
        <rFont val="Arial"/>
        <family val="2"/>
      </rPr>
      <t>1-2</t>
    </r>
    <r>
      <rPr>
        <sz val="9"/>
        <color theme="1"/>
        <rFont val="微软雅黑"/>
        <family val="2"/>
        <charset val="134"/>
      </rPr>
      <t>月</t>
    </r>
  </si>
  <si>
    <r>
      <rPr>
        <sz val="9"/>
        <rFont val="微软雅黑"/>
        <family val="2"/>
        <charset val="134"/>
      </rPr>
      <t>全球</t>
    </r>
    <r>
      <rPr>
        <sz val="9"/>
        <rFont val="Arial"/>
        <family val="2"/>
      </rPr>
      <t>2023</t>
    </r>
    <r>
      <rPr>
        <sz val="9"/>
        <rFont val="微软雅黑"/>
        <family val="2"/>
        <charset val="134"/>
      </rPr>
      <t>年</t>
    </r>
    <r>
      <rPr>
        <sz val="9"/>
        <rFont val="Arial"/>
        <family val="2"/>
      </rPr>
      <t>1</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</si>
  <si>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</si>
  <si>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1-12</t>
    </r>
    <r>
      <rPr>
        <sz val="9"/>
        <rFont val="微软雅黑"/>
        <family val="2"/>
        <charset val="134"/>
      </rPr>
      <t>月装机量企业排名</t>
    </r>
  </si>
  <si>
    <r>
      <t>2021</t>
    </r>
    <r>
      <rPr>
        <sz val="9"/>
        <color theme="1"/>
        <rFont val="微软雅黑"/>
        <family val="2"/>
        <charset val="134"/>
      </rPr>
      <t>年占比</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</si>
  <si>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12</t>
    </r>
    <r>
      <rPr>
        <sz val="9"/>
        <color theme="1"/>
        <rFont val="微软雅黑"/>
        <family val="2"/>
        <charset val="134"/>
      </rPr>
      <t>月</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</si>
  <si>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12</t>
    </r>
    <r>
      <rPr>
        <sz val="9"/>
        <color theme="1"/>
        <rFont val="微软雅黑"/>
        <family val="2"/>
        <charset val="134"/>
      </rPr>
      <t>月</t>
    </r>
  </si>
  <si>
    <r>
      <t>2022</t>
    </r>
    <r>
      <rPr>
        <sz val="9"/>
        <color rgb="FF000000"/>
        <rFont val="微软雅黑"/>
        <family val="2"/>
        <charset val="134"/>
      </rPr>
      <t>年</t>
    </r>
    <r>
      <rPr>
        <sz val="9"/>
        <color rgb="FF000000"/>
        <rFont val="Arial"/>
        <family val="2"/>
      </rPr>
      <t>1-12</t>
    </r>
    <r>
      <rPr>
        <sz val="9"/>
        <color rgb="FF000000"/>
        <rFont val="微软雅黑"/>
        <family val="2"/>
        <charset val="134"/>
      </rPr>
      <t>月占比</t>
    </r>
  </si>
  <si>
    <r>
      <t>2021</t>
    </r>
    <r>
      <rPr>
        <sz val="9"/>
        <color rgb="FF000000"/>
        <rFont val="微软雅黑"/>
        <family val="2"/>
        <charset val="134"/>
      </rPr>
      <t>年占比</t>
    </r>
  </si>
  <si>
    <r>
      <rPr>
        <sz val="9"/>
        <rFont val="微软雅黑"/>
        <family val="2"/>
        <charset val="134"/>
      </rPr>
      <t>全球</t>
    </r>
    <r>
      <rPr>
        <sz val="9"/>
        <rFont val="Arial"/>
        <family val="2"/>
      </rPr>
      <t>2022</t>
    </r>
    <r>
      <rPr>
        <sz val="9"/>
        <rFont val="微软雅黑"/>
        <family val="2"/>
        <charset val="134"/>
      </rPr>
      <t>年</t>
    </r>
    <r>
      <rPr>
        <sz val="9"/>
        <rFont val="Arial"/>
        <family val="2"/>
      </rPr>
      <t>11</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</si>
  <si>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1-11</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</si>
  <si>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11</t>
    </r>
    <r>
      <rPr>
        <sz val="9"/>
        <color theme="1"/>
        <rFont val="微软雅黑"/>
        <family val="2"/>
        <charset val="134"/>
      </rPr>
      <t>月</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</si>
  <si>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11</t>
    </r>
    <r>
      <rPr>
        <sz val="9"/>
        <color theme="1"/>
        <rFont val="微软雅黑"/>
        <family val="2"/>
        <charset val="134"/>
      </rPr>
      <t>月</t>
    </r>
  </si>
  <si>
    <r>
      <t>2022</t>
    </r>
    <r>
      <rPr>
        <sz val="9"/>
        <color rgb="FF000000"/>
        <rFont val="微软雅黑"/>
        <family val="2"/>
        <charset val="134"/>
      </rPr>
      <t>年</t>
    </r>
    <r>
      <rPr>
        <sz val="9"/>
        <color rgb="FF000000"/>
        <rFont val="Arial"/>
        <family val="2"/>
      </rPr>
      <t>1-11</t>
    </r>
    <r>
      <rPr>
        <sz val="9"/>
        <color rgb="FF000000"/>
        <rFont val="微软雅黑"/>
        <family val="2"/>
        <charset val="134"/>
      </rPr>
      <t>月占比</t>
    </r>
  </si>
  <si>
    <r>
      <t>LG</t>
    </r>
    <r>
      <rPr>
        <sz val="9"/>
        <color theme="1"/>
        <rFont val="微软雅黑"/>
        <family val="2"/>
        <charset val="134"/>
      </rPr>
      <t>化学</t>
    </r>
  </si>
  <si>
    <r>
      <rPr>
        <sz val="9"/>
        <color theme="1"/>
        <rFont val="微软雅黑"/>
        <family val="2"/>
        <charset val="134"/>
      </rPr>
      <t>中航锂电</t>
    </r>
  </si>
  <si>
    <r>
      <rPr>
        <sz val="9"/>
        <rFont val="微软雅黑"/>
        <family val="2"/>
        <charset val="134"/>
      </rPr>
      <t>全球</t>
    </r>
    <r>
      <rPr>
        <sz val="9"/>
        <rFont val="Arial"/>
        <family val="2"/>
      </rPr>
      <t>2022</t>
    </r>
    <r>
      <rPr>
        <sz val="9"/>
        <rFont val="微软雅黑"/>
        <family val="2"/>
        <charset val="134"/>
      </rPr>
      <t>年</t>
    </r>
    <r>
      <rPr>
        <sz val="9"/>
        <rFont val="Arial"/>
        <family val="2"/>
      </rPr>
      <t>10</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</si>
  <si>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1-10</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</si>
  <si>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10</t>
    </r>
    <r>
      <rPr>
        <sz val="9"/>
        <color theme="1"/>
        <rFont val="微软雅黑"/>
        <family val="2"/>
        <charset val="134"/>
      </rPr>
      <t>月</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</si>
  <si>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10</t>
    </r>
    <r>
      <rPr>
        <sz val="9"/>
        <color theme="1"/>
        <rFont val="微软雅黑"/>
        <family val="2"/>
        <charset val="134"/>
      </rPr>
      <t>月</t>
    </r>
  </si>
  <si>
    <r>
      <t>2022</t>
    </r>
    <r>
      <rPr>
        <sz val="9"/>
        <color rgb="FF000000"/>
        <rFont val="微软雅黑"/>
        <family val="2"/>
        <charset val="134"/>
      </rPr>
      <t>年</t>
    </r>
    <r>
      <rPr>
        <sz val="9"/>
        <color rgb="FF000000"/>
        <rFont val="Arial"/>
        <family val="2"/>
      </rPr>
      <t>1-10</t>
    </r>
    <r>
      <rPr>
        <sz val="9"/>
        <color rgb="FF000000"/>
        <rFont val="微软雅黑"/>
        <family val="2"/>
        <charset val="134"/>
      </rPr>
      <t>月占比</t>
    </r>
  </si>
  <si>
    <r>
      <rPr>
        <sz val="9"/>
        <rFont val="微软雅黑"/>
        <family val="2"/>
        <charset val="134"/>
      </rPr>
      <t>全球</t>
    </r>
    <r>
      <rPr>
        <sz val="9"/>
        <rFont val="Arial"/>
        <family val="2"/>
      </rPr>
      <t>2022</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</si>
  <si>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1-9</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</si>
  <si>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9</t>
    </r>
    <r>
      <rPr>
        <sz val="9"/>
        <color theme="1"/>
        <rFont val="微软雅黑"/>
        <family val="2"/>
        <charset val="134"/>
      </rPr>
      <t>月</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</si>
  <si>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9</t>
    </r>
    <r>
      <rPr>
        <sz val="9"/>
        <color theme="1"/>
        <rFont val="微软雅黑"/>
        <family val="2"/>
        <charset val="134"/>
      </rPr>
      <t>月</t>
    </r>
  </si>
  <si>
    <r>
      <rPr>
        <sz val="9"/>
        <rFont val="微软雅黑"/>
        <family val="2"/>
        <charset val="134"/>
      </rPr>
      <t>全球</t>
    </r>
    <r>
      <rPr>
        <sz val="9"/>
        <rFont val="Arial"/>
        <family val="2"/>
      </rPr>
      <t>2022</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</si>
  <si>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1-8</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</si>
  <si>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8</t>
    </r>
    <r>
      <rPr>
        <sz val="9"/>
        <color theme="1"/>
        <rFont val="微软雅黑"/>
        <family val="2"/>
        <charset val="134"/>
      </rPr>
      <t>月</t>
    </r>
  </si>
  <si>
    <r>
      <rPr>
        <sz val="9"/>
        <rFont val="微软雅黑"/>
        <family val="2"/>
        <charset val="134"/>
      </rPr>
      <t>全球</t>
    </r>
    <r>
      <rPr>
        <sz val="9"/>
        <rFont val="Arial"/>
        <family val="2"/>
      </rPr>
      <t>2022</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</si>
  <si>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1-7</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</si>
  <si>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7</t>
    </r>
    <r>
      <rPr>
        <sz val="9"/>
        <color theme="1"/>
        <rFont val="微软雅黑"/>
        <family val="2"/>
        <charset val="134"/>
      </rPr>
      <t>月</t>
    </r>
  </si>
  <si>
    <r>
      <rPr>
        <sz val="9"/>
        <rFont val="微软雅黑"/>
        <family val="2"/>
        <charset val="134"/>
      </rPr>
      <t>全球</t>
    </r>
    <r>
      <rPr>
        <sz val="9"/>
        <rFont val="Arial"/>
        <family val="2"/>
      </rPr>
      <t>2022</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</si>
  <si>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1-6</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</si>
  <si>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</si>
  <si>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1-5</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</si>
  <si>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5</t>
    </r>
    <r>
      <rPr>
        <sz val="9"/>
        <color theme="1"/>
        <rFont val="微软雅黑"/>
        <family val="2"/>
        <charset val="134"/>
      </rPr>
      <t>月</t>
    </r>
  </si>
  <si>
    <r>
      <rPr>
        <sz val="9"/>
        <rFont val="微软雅黑"/>
        <family val="2"/>
        <charset val="134"/>
      </rPr>
      <t>全球</t>
    </r>
    <r>
      <rPr>
        <sz val="9"/>
        <rFont val="Arial"/>
        <family val="2"/>
      </rPr>
      <t>2022</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</si>
  <si>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全球</t>
    </r>
    <r>
      <rPr>
        <sz val="9"/>
        <rFont val="Arial"/>
        <family val="2"/>
      </rPr>
      <t>2022</t>
    </r>
    <r>
      <rPr>
        <sz val="9"/>
        <rFont val="微软雅黑"/>
        <family val="2"/>
        <charset val="134"/>
      </rPr>
      <t>年</t>
    </r>
    <r>
      <rPr>
        <sz val="9"/>
        <rFont val="Arial"/>
        <family val="2"/>
      </rPr>
      <t>1-4</t>
    </r>
    <r>
      <rPr>
        <sz val="9"/>
        <rFont val="微软雅黑"/>
        <family val="2"/>
        <charset val="134"/>
      </rPr>
      <t>月装机量企业排名</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</si>
  <si>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4</t>
    </r>
    <r>
      <rPr>
        <sz val="9"/>
        <color theme="1"/>
        <rFont val="微软雅黑"/>
        <family val="2"/>
        <charset val="134"/>
      </rPr>
      <t>月</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</si>
  <si>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4</t>
    </r>
    <r>
      <rPr>
        <sz val="9"/>
        <color theme="1"/>
        <rFont val="微软雅黑"/>
        <family val="2"/>
        <charset val="134"/>
      </rPr>
      <t>月</t>
    </r>
  </si>
  <si>
    <r>
      <rPr>
        <sz val="9"/>
        <color theme="1"/>
        <rFont val="微软雅黑"/>
        <family val="2"/>
        <charset val="134"/>
      </rPr>
      <t>松下电器</t>
    </r>
  </si>
  <si>
    <r>
      <rPr>
        <sz val="9"/>
        <rFont val="微软雅黑"/>
        <family val="2"/>
        <charset val="134"/>
      </rPr>
      <t>全球</t>
    </r>
    <r>
      <rPr>
        <sz val="9"/>
        <rFont val="Arial"/>
        <family val="2"/>
      </rPr>
      <t>2022</t>
    </r>
    <r>
      <rPr>
        <sz val="9"/>
        <rFont val="微软雅黑"/>
        <family val="2"/>
        <charset val="134"/>
      </rPr>
      <t>年</t>
    </r>
    <r>
      <rPr>
        <sz val="9"/>
        <rFont val="Arial"/>
        <family val="2"/>
      </rPr>
      <t>3</t>
    </r>
    <r>
      <rPr>
        <sz val="9"/>
        <rFont val="微软雅黑"/>
        <family val="2"/>
        <charset val="134"/>
      </rPr>
      <t>月装机量企业排名</t>
    </r>
  </si>
  <si>
    <r>
      <rPr>
        <sz val="9"/>
        <color theme="1"/>
        <rFont val="微软雅黑"/>
        <family val="2"/>
        <charset val="134"/>
      </rPr>
      <t>全球</t>
    </r>
    <r>
      <rPr>
        <sz val="9"/>
        <color theme="1"/>
        <rFont val="Arial"/>
        <family val="2"/>
      </rPr>
      <t>2022</t>
    </r>
    <r>
      <rPr>
        <sz val="9"/>
        <color theme="1"/>
        <rFont val="微软雅黑"/>
        <family val="2"/>
        <charset val="134"/>
      </rPr>
      <t>年</t>
    </r>
    <r>
      <rPr>
        <sz val="9"/>
        <color theme="1"/>
        <rFont val="Arial"/>
        <family val="2"/>
      </rPr>
      <t>1-3</t>
    </r>
    <r>
      <rPr>
        <sz val="9"/>
        <color theme="1"/>
        <rFont val="微软雅黑"/>
        <family val="2"/>
        <charset val="134"/>
      </rPr>
      <t>月装机量企业排名</t>
    </r>
  </si>
  <si>
    <r>
      <rPr>
        <sz val="9"/>
        <color theme="1"/>
        <rFont val="微软雅黑"/>
        <family val="2"/>
        <charset val="134"/>
      </rPr>
      <t>排名</t>
    </r>
  </si>
  <si>
    <r>
      <t>2022</t>
    </r>
    <r>
      <rPr>
        <sz val="9"/>
        <color rgb="FF000000"/>
        <rFont val="微软雅黑"/>
        <family val="2"/>
        <charset val="134"/>
      </rPr>
      <t>年</t>
    </r>
    <r>
      <rPr>
        <sz val="9"/>
        <color rgb="FF000000"/>
        <rFont val="Arial"/>
        <family val="2"/>
      </rPr>
      <t>1</t>
    </r>
    <r>
      <rPr>
        <sz val="9"/>
        <color rgb="FF000000"/>
        <rFont val="微软雅黑"/>
        <family val="2"/>
        <charset val="134"/>
      </rPr>
      <t>月至</t>
    </r>
    <r>
      <rPr>
        <sz val="9"/>
        <color rgb="FF000000"/>
        <rFont val="Arial"/>
        <family val="2"/>
      </rPr>
      <t>3</t>
    </r>
    <r>
      <rPr>
        <sz val="9"/>
        <color rgb="FF000000"/>
        <rFont val="微软雅黑"/>
        <family val="2"/>
        <charset val="134"/>
      </rPr>
      <t>月</t>
    </r>
  </si>
  <si>
    <r>
      <t>2021</t>
    </r>
    <r>
      <rPr>
        <sz val="9"/>
        <color rgb="FF000000"/>
        <rFont val="微软雅黑"/>
        <family val="2"/>
        <charset val="134"/>
      </rPr>
      <t>年</t>
    </r>
    <r>
      <rPr>
        <sz val="9"/>
        <color rgb="FF000000"/>
        <rFont val="Arial"/>
        <family val="2"/>
      </rPr>
      <t>1</t>
    </r>
    <r>
      <rPr>
        <sz val="9"/>
        <color rgb="FF000000"/>
        <rFont val="微软雅黑"/>
        <family val="2"/>
        <charset val="134"/>
      </rPr>
      <t>月至</t>
    </r>
    <r>
      <rPr>
        <sz val="9"/>
        <color rgb="FF000000"/>
        <rFont val="Arial"/>
        <family val="2"/>
      </rPr>
      <t>3</t>
    </r>
    <r>
      <rPr>
        <sz val="9"/>
        <color rgb="FF000000"/>
        <rFont val="微软雅黑"/>
        <family val="2"/>
        <charset val="134"/>
      </rPr>
      <t>月</t>
    </r>
  </si>
  <si>
    <r>
      <rPr>
        <sz val="9"/>
        <rFont val="微软雅黑"/>
        <family val="2"/>
        <charset val="134"/>
      </rPr>
      <t>中航锂电</t>
    </r>
  </si>
  <si>
    <r>
      <rPr>
        <sz val="9"/>
        <rFont val="微软雅黑"/>
        <family val="2"/>
        <charset val="134"/>
      </rPr>
      <t>全球</t>
    </r>
    <r>
      <rPr>
        <sz val="9"/>
        <rFont val="Arial"/>
        <family val="2"/>
      </rPr>
      <t>2022</t>
    </r>
    <r>
      <rPr>
        <sz val="9"/>
        <rFont val="微软雅黑"/>
        <family val="2"/>
        <charset val="134"/>
      </rPr>
      <t>年</t>
    </r>
    <r>
      <rPr>
        <sz val="9"/>
        <rFont val="Arial"/>
        <family val="2"/>
      </rPr>
      <t>2</t>
    </r>
    <r>
      <rPr>
        <sz val="9"/>
        <rFont val="微软雅黑"/>
        <family val="2"/>
        <charset val="134"/>
      </rPr>
      <t>月装机量企业排名</t>
    </r>
  </si>
  <si>
    <r>
      <rPr>
        <sz val="9"/>
        <color theme="1"/>
        <rFont val="微软雅黑"/>
        <family val="2"/>
        <charset val="134"/>
      </rPr>
      <t>全球</t>
    </r>
    <r>
      <rPr>
        <sz val="9"/>
        <color theme="1"/>
        <rFont val="Arial"/>
        <family val="2"/>
      </rPr>
      <t>2022</t>
    </r>
    <r>
      <rPr>
        <sz val="9"/>
        <color theme="1"/>
        <rFont val="微软雅黑"/>
        <family val="2"/>
        <charset val="134"/>
      </rPr>
      <t>年</t>
    </r>
    <r>
      <rPr>
        <sz val="9"/>
        <color theme="1"/>
        <rFont val="Arial"/>
        <family val="2"/>
      </rPr>
      <t>1-2</t>
    </r>
    <r>
      <rPr>
        <sz val="9"/>
        <color theme="1"/>
        <rFont val="微软雅黑"/>
        <family val="2"/>
        <charset val="134"/>
      </rPr>
      <t>月装机量企业排名</t>
    </r>
  </si>
  <si>
    <r>
      <t>2022</t>
    </r>
    <r>
      <rPr>
        <sz val="9"/>
        <color rgb="FF000000"/>
        <rFont val="微软雅黑"/>
        <family val="2"/>
        <charset val="134"/>
      </rPr>
      <t>年</t>
    </r>
    <r>
      <rPr>
        <sz val="9"/>
        <color rgb="FF000000"/>
        <rFont val="Arial"/>
        <family val="2"/>
      </rPr>
      <t>1</t>
    </r>
    <r>
      <rPr>
        <sz val="9"/>
        <color rgb="FF000000"/>
        <rFont val="微软雅黑"/>
        <family val="2"/>
        <charset val="134"/>
      </rPr>
      <t>月至</t>
    </r>
    <r>
      <rPr>
        <sz val="9"/>
        <color rgb="FF000000"/>
        <rFont val="Arial"/>
        <family val="2"/>
      </rPr>
      <t>2</t>
    </r>
    <r>
      <rPr>
        <sz val="9"/>
        <color rgb="FF000000"/>
        <rFont val="微软雅黑"/>
        <family val="2"/>
        <charset val="134"/>
      </rPr>
      <t>月</t>
    </r>
  </si>
  <si>
    <r>
      <t>2021</t>
    </r>
    <r>
      <rPr>
        <sz val="9"/>
        <color rgb="FF000000"/>
        <rFont val="微软雅黑"/>
        <family val="2"/>
        <charset val="134"/>
      </rPr>
      <t>年</t>
    </r>
    <r>
      <rPr>
        <sz val="9"/>
        <color rgb="FF000000"/>
        <rFont val="Arial"/>
        <family val="2"/>
      </rPr>
      <t>1</t>
    </r>
    <r>
      <rPr>
        <sz val="9"/>
        <color rgb="FF000000"/>
        <rFont val="微软雅黑"/>
        <family val="2"/>
        <charset val="134"/>
      </rPr>
      <t>月至</t>
    </r>
    <r>
      <rPr>
        <sz val="9"/>
        <color rgb="FF000000"/>
        <rFont val="Arial"/>
        <family val="2"/>
      </rPr>
      <t>2</t>
    </r>
    <r>
      <rPr>
        <sz val="9"/>
        <color rgb="FF000000"/>
        <rFont val="微软雅黑"/>
        <family val="2"/>
        <charset val="134"/>
      </rPr>
      <t>月</t>
    </r>
  </si>
  <si>
    <r>
      <rPr>
        <sz val="9"/>
        <color theme="1"/>
        <rFont val="微软雅黑"/>
        <family val="2"/>
        <charset val="134"/>
      </rPr>
      <t>远景动力</t>
    </r>
  </si>
  <si>
    <r>
      <rPr>
        <sz val="9"/>
        <rFont val="微软雅黑"/>
        <family val="2"/>
        <charset val="134"/>
      </rPr>
      <t>全球</t>
    </r>
    <r>
      <rPr>
        <sz val="9"/>
        <rFont val="Arial"/>
        <family val="2"/>
      </rPr>
      <t>2022</t>
    </r>
    <r>
      <rPr>
        <sz val="9"/>
        <rFont val="微软雅黑"/>
        <family val="2"/>
        <charset val="134"/>
      </rPr>
      <t>年</t>
    </r>
    <r>
      <rPr>
        <sz val="9"/>
        <rFont val="Arial"/>
        <family val="2"/>
      </rPr>
      <t>1</t>
    </r>
    <r>
      <rPr>
        <sz val="9"/>
        <rFont val="微软雅黑"/>
        <family val="2"/>
        <charset val="134"/>
      </rPr>
      <t>月装机量企业排名</t>
    </r>
  </si>
  <si>
    <r>
      <rPr>
        <sz val="9"/>
        <rFont val="微软雅黑"/>
        <family val="2"/>
        <charset val="134"/>
      </rPr>
      <t>全球</t>
    </r>
    <r>
      <rPr>
        <sz val="9"/>
        <rFont val="Arial"/>
        <family val="2"/>
      </rPr>
      <t>2021</t>
    </r>
    <r>
      <rPr>
        <sz val="9"/>
        <rFont val="微软雅黑"/>
        <family val="2"/>
        <charset val="134"/>
      </rPr>
      <t>年</t>
    </r>
    <r>
      <rPr>
        <sz val="9"/>
        <rFont val="Arial"/>
        <family val="2"/>
      </rPr>
      <t>12</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</si>
  <si>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1-12</t>
    </r>
    <r>
      <rPr>
        <sz val="9"/>
        <color theme="1"/>
        <rFont val="微软雅黑"/>
        <family val="2"/>
        <charset val="134"/>
      </rPr>
      <t>月装机量企业排名</t>
    </r>
  </si>
  <si>
    <r>
      <t>2020</t>
    </r>
    <r>
      <rPr>
        <sz val="9"/>
        <color theme="1"/>
        <rFont val="微软雅黑"/>
        <family val="2"/>
        <charset val="134"/>
      </rPr>
      <t>年占比</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</si>
  <si>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12</t>
    </r>
    <r>
      <rPr>
        <sz val="9"/>
        <color theme="1"/>
        <rFont val="微软雅黑"/>
        <family val="2"/>
        <charset val="134"/>
      </rPr>
      <t>月</t>
    </r>
  </si>
  <si>
    <r>
      <rPr>
        <sz val="9"/>
        <rFont val="微软雅黑"/>
        <family val="2"/>
        <charset val="134"/>
      </rPr>
      <t>欣旺达</t>
    </r>
  </si>
  <si>
    <r>
      <rPr>
        <sz val="9"/>
        <rFont val="微软雅黑"/>
        <family val="2"/>
        <charset val="134"/>
      </rPr>
      <t>全球</t>
    </r>
    <r>
      <rPr>
        <sz val="9"/>
        <rFont val="Arial"/>
        <family val="2"/>
      </rPr>
      <t>2021</t>
    </r>
    <r>
      <rPr>
        <sz val="9"/>
        <rFont val="微软雅黑"/>
        <family val="2"/>
        <charset val="134"/>
      </rPr>
      <t>年</t>
    </r>
    <r>
      <rPr>
        <sz val="9"/>
        <rFont val="Arial"/>
        <family val="2"/>
      </rPr>
      <t>11</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</si>
  <si>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1-11</t>
    </r>
    <r>
      <rPr>
        <sz val="9"/>
        <color theme="1"/>
        <rFont val="微软雅黑"/>
        <family val="2"/>
        <charset val="134"/>
      </rPr>
      <t>月装机量企业排名</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</si>
  <si>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11</t>
    </r>
    <r>
      <rPr>
        <sz val="9"/>
        <color theme="1"/>
        <rFont val="微软雅黑"/>
        <family val="2"/>
        <charset val="134"/>
      </rPr>
      <t>月</t>
    </r>
  </si>
  <si>
    <r>
      <rPr>
        <sz val="9"/>
        <rFont val="微软雅黑"/>
        <family val="2"/>
        <charset val="134"/>
      </rPr>
      <t>合计</t>
    </r>
  </si>
  <si>
    <r>
      <t>SVOLT</t>
    </r>
    <r>
      <rPr>
        <sz val="9"/>
        <color theme="1"/>
        <rFont val="微软雅黑"/>
        <family val="2"/>
        <charset val="134"/>
      </rPr>
      <t>：蜂巢</t>
    </r>
  </si>
  <si>
    <r>
      <rPr>
        <sz val="9"/>
        <rFont val="微软雅黑"/>
        <family val="2"/>
        <charset val="134"/>
      </rPr>
      <t>全球</t>
    </r>
    <r>
      <rPr>
        <sz val="9"/>
        <rFont val="Arial"/>
        <family val="2"/>
      </rPr>
      <t>2021</t>
    </r>
    <r>
      <rPr>
        <sz val="9"/>
        <rFont val="微软雅黑"/>
        <family val="2"/>
        <charset val="134"/>
      </rPr>
      <t>年</t>
    </r>
    <r>
      <rPr>
        <sz val="9"/>
        <rFont val="Arial"/>
        <family val="2"/>
      </rPr>
      <t>10</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</si>
  <si>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1-10</t>
    </r>
    <r>
      <rPr>
        <sz val="9"/>
        <color theme="1"/>
        <rFont val="微软雅黑"/>
        <family val="2"/>
        <charset val="134"/>
      </rPr>
      <t>月装机量企业排名</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</si>
  <si>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10</t>
    </r>
    <r>
      <rPr>
        <sz val="9"/>
        <color theme="1"/>
        <rFont val="微软雅黑"/>
        <family val="2"/>
        <charset val="134"/>
      </rPr>
      <t>月</t>
    </r>
  </si>
  <si>
    <r>
      <rPr>
        <sz val="9"/>
        <color rgb="FFFF0000"/>
        <rFont val="微软雅黑"/>
        <family val="2"/>
        <charset val="134"/>
      </rPr>
      <t>中航锂电</t>
    </r>
  </si>
  <si>
    <r>
      <rPr>
        <sz val="9"/>
        <color theme="1"/>
        <rFont val="微软雅黑"/>
        <family val="2"/>
        <charset val="134"/>
      </rPr>
      <t>备注</t>
    </r>
  </si>
  <si>
    <r>
      <t xml:space="preserve">SK </t>
    </r>
    <r>
      <rPr>
        <sz val="9"/>
        <color theme="1"/>
        <rFont val="微软雅黑"/>
        <family val="2"/>
        <charset val="134"/>
      </rPr>
      <t>业务分拆，</t>
    </r>
    <r>
      <rPr>
        <sz val="9"/>
        <color theme="1"/>
        <rFont val="Arial"/>
        <family val="2"/>
      </rPr>
      <t xml:space="preserve">SK ON </t>
    </r>
    <r>
      <rPr>
        <sz val="9"/>
        <color theme="1"/>
        <rFont val="微软雅黑"/>
        <family val="2"/>
        <charset val="134"/>
      </rPr>
      <t>负责电池业务</t>
    </r>
  </si>
  <si>
    <r>
      <rPr>
        <sz val="9"/>
        <rFont val="微软雅黑"/>
        <family val="2"/>
        <charset val="134"/>
      </rPr>
      <t>全球</t>
    </r>
    <r>
      <rPr>
        <sz val="9"/>
        <rFont val="Arial"/>
        <family val="2"/>
      </rPr>
      <t>2021</t>
    </r>
    <r>
      <rPr>
        <sz val="9"/>
        <rFont val="微软雅黑"/>
        <family val="2"/>
        <charset val="134"/>
      </rPr>
      <t>年</t>
    </r>
    <r>
      <rPr>
        <sz val="9"/>
        <rFont val="Arial"/>
        <family val="2"/>
      </rPr>
      <t>9</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</si>
  <si>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1-9</t>
    </r>
    <r>
      <rPr>
        <sz val="9"/>
        <color theme="1"/>
        <rFont val="微软雅黑"/>
        <family val="2"/>
        <charset val="134"/>
      </rPr>
      <t>月装机量企业排名</t>
    </r>
  </si>
  <si>
    <r>
      <rPr>
        <sz val="9"/>
        <rFont val="微软雅黑"/>
        <family val="2"/>
        <charset val="134"/>
      </rPr>
      <t>企业</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</si>
  <si>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9</t>
    </r>
    <r>
      <rPr>
        <sz val="9"/>
        <color theme="1"/>
        <rFont val="微软雅黑"/>
        <family val="2"/>
        <charset val="134"/>
      </rPr>
      <t>月</t>
    </r>
  </si>
  <si>
    <r>
      <t>LG</t>
    </r>
    <r>
      <rPr>
        <sz val="9"/>
        <rFont val="微软雅黑"/>
        <family val="2"/>
        <charset val="134"/>
      </rPr>
      <t>化学</t>
    </r>
  </si>
  <si>
    <r>
      <rPr>
        <sz val="9"/>
        <rFont val="微软雅黑"/>
        <family val="2"/>
        <charset val="134"/>
      </rPr>
      <t>天津力神</t>
    </r>
  </si>
  <si>
    <r>
      <rPr>
        <sz val="9"/>
        <rFont val="微软雅黑"/>
        <family val="2"/>
        <charset val="134"/>
      </rPr>
      <t>全球</t>
    </r>
    <r>
      <rPr>
        <sz val="9"/>
        <rFont val="Arial"/>
        <family val="2"/>
      </rPr>
      <t>2021</t>
    </r>
    <r>
      <rPr>
        <sz val="9"/>
        <rFont val="微软雅黑"/>
        <family val="2"/>
        <charset val="134"/>
      </rPr>
      <t>年</t>
    </r>
    <r>
      <rPr>
        <sz val="9"/>
        <rFont val="Arial"/>
        <family val="2"/>
      </rPr>
      <t>8</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</si>
  <si>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1-8</t>
    </r>
    <r>
      <rPr>
        <sz val="9"/>
        <color theme="1"/>
        <rFont val="微软雅黑"/>
        <family val="2"/>
        <charset val="134"/>
      </rPr>
      <t>月装机量企业排名</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</si>
  <si>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8</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</si>
  <si>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8</t>
    </r>
    <r>
      <rPr>
        <sz val="9"/>
        <color theme="1"/>
        <rFont val="微软雅黑"/>
        <family val="2"/>
        <charset val="134"/>
      </rPr>
      <t>月</t>
    </r>
  </si>
  <si>
    <r>
      <rPr>
        <sz val="9"/>
        <rFont val="微软雅黑"/>
        <family val="2"/>
        <charset val="134"/>
      </rPr>
      <t>其它</t>
    </r>
  </si>
  <si>
    <r>
      <rPr>
        <sz val="9"/>
        <rFont val="微软雅黑"/>
        <family val="2"/>
        <charset val="134"/>
      </rPr>
      <t>全球</t>
    </r>
    <r>
      <rPr>
        <sz val="9"/>
        <rFont val="Arial"/>
        <family val="2"/>
      </rPr>
      <t>2021</t>
    </r>
    <r>
      <rPr>
        <sz val="9"/>
        <rFont val="微软雅黑"/>
        <family val="2"/>
        <charset val="134"/>
      </rPr>
      <t>年</t>
    </r>
    <r>
      <rPr>
        <sz val="9"/>
        <rFont val="Arial"/>
        <family val="2"/>
      </rPr>
      <t>7</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</si>
  <si>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1-7</t>
    </r>
    <r>
      <rPr>
        <sz val="9"/>
        <color theme="1"/>
        <rFont val="微软雅黑"/>
        <family val="2"/>
        <charset val="134"/>
      </rPr>
      <t>月装机量企业排名</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</si>
  <si>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7</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</si>
  <si>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7</t>
    </r>
    <r>
      <rPr>
        <sz val="9"/>
        <color theme="1"/>
        <rFont val="微软雅黑"/>
        <family val="2"/>
        <charset val="134"/>
      </rPr>
      <t>月</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</si>
  <si>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6</t>
    </r>
    <r>
      <rPr>
        <sz val="9"/>
        <color theme="1"/>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</si>
  <si>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1-6</t>
    </r>
    <r>
      <rPr>
        <sz val="9"/>
        <color theme="1"/>
        <rFont val="微软雅黑"/>
        <family val="2"/>
        <charset val="134"/>
      </rPr>
      <t>月装机量企业排名</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</si>
  <si>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6</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</si>
  <si>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6</t>
    </r>
    <r>
      <rPr>
        <sz val="9"/>
        <color theme="1"/>
        <rFont val="微软雅黑"/>
        <family val="2"/>
        <charset val="134"/>
      </rPr>
      <t>月</t>
    </r>
  </si>
  <si>
    <r>
      <rPr>
        <sz val="9"/>
        <rFont val="微软雅黑"/>
        <family val="2"/>
        <charset val="134"/>
      </rPr>
      <t>全球</t>
    </r>
    <r>
      <rPr>
        <sz val="9"/>
        <rFont val="Arial"/>
        <family val="2"/>
      </rPr>
      <t>2021</t>
    </r>
    <r>
      <rPr>
        <sz val="9"/>
        <rFont val="微软雅黑"/>
        <family val="2"/>
        <charset val="134"/>
      </rPr>
      <t>年</t>
    </r>
    <r>
      <rPr>
        <sz val="9"/>
        <rFont val="Arial"/>
        <family val="2"/>
      </rPr>
      <t>5</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</si>
  <si>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1-5</t>
    </r>
    <r>
      <rPr>
        <sz val="9"/>
        <color theme="1"/>
        <rFont val="微软雅黑"/>
        <family val="2"/>
        <charset val="134"/>
      </rPr>
      <t>月装机量企业排名</t>
    </r>
  </si>
  <si>
    <r>
      <t>2021</t>
    </r>
    <r>
      <rPr>
        <sz val="9"/>
        <rFont val="微软雅黑"/>
        <family val="2"/>
        <charset val="134"/>
      </rPr>
      <t>年占比</t>
    </r>
  </si>
  <si>
    <r>
      <t>2020</t>
    </r>
    <r>
      <rPr>
        <sz val="9"/>
        <rFont val="微软雅黑"/>
        <family val="2"/>
        <charset val="134"/>
      </rPr>
      <t>年占比</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</si>
  <si>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5</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</si>
  <si>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5</t>
    </r>
    <r>
      <rPr>
        <sz val="9"/>
        <color theme="1"/>
        <rFont val="微软雅黑"/>
        <family val="2"/>
        <charset val="134"/>
      </rPr>
      <t>月</t>
    </r>
  </si>
  <si>
    <r>
      <rPr>
        <sz val="9"/>
        <rFont val="微软雅黑"/>
        <family val="2"/>
        <charset val="134"/>
      </rPr>
      <t>全球</t>
    </r>
    <r>
      <rPr>
        <sz val="9"/>
        <rFont val="Arial"/>
        <family val="2"/>
      </rPr>
      <t>2021</t>
    </r>
    <r>
      <rPr>
        <sz val="9"/>
        <rFont val="微软雅黑"/>
        <family val="2"/>
        <charset val="134"/>
      </rPr>
      <t>年</t>
    </r>
    <r>
      <rPr>
        <sz val="9"/>
        <rFont val="Arial"/>
        <family val="2"/>
      </rPr>
      <t>4</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</si>
  <si>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1-4</t>
    </r>
    <r>
      <rPr>
        <sz val="9"/>
        <color theme="1"/>
        <rFont val="微软雅黑"/>
        <family val="2"/>
        <charset val="134"/>
      </rPr>
      <t>月装机量企业排名</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</si>
  <si>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4</t>
    </r>
    <r>
      <rPr>
        <sz val="9"/>
        <color theme="1"/>
        <rFont val="微软雅黑"/>
        <family val="2"/>
        <charset val="134"/>
      </rPr>
      <t>月</t>
    </r>
  </si>
  <si>
    <r>
      <rPr>
        <sz val="9"/>
        <rFont val="微软雅黑"/>
        <family val="2"/>
        <charset val="134"/>
      </rPr>
      <t>全球</t>
    </r>
    <r>
      <rPr>
        <sz val="9"/>
        <rFont val="Arial"/>
        <family val="2"/>
      </rPr>
      <t>2021</t>
    </r>
    <r>
      <rPr>
        <sz val="9"/>
        <rFont val="微软雅黑"/>
        <family val="2"/>
        <charset val="134"/>
      </rPr>
      <t>年</t>
    </r>
    <r>
      <rPr>
        <sz val="9"/>
        <rFont val="Arial"/>
        <family val="2"/>
      </rPr>
      <t>3</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</si>
  <si>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1-3</t>
    </r>
    <r>
      <rPr>
        <sz val="9"/>
        <color theme="1"/>
        <rFont val="微软雅黑"/>
        <family val="2"/>
        <charset val="134"/>
      </rPr>
      <t>月装机量企业排名</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</si>
  <si>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3</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</si>
  <si>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3</t>
    </r>
    <r>
      <rPr>
        <sz val="9"/>
        <color theme="1"/>
        <rFont val="微软雅黑"/>
        <family val="2"/>
        <charset val="134"/>
      </rPr>
      <t>月</t>
    </r>
  </si>
  <si>
    <r>
      <rPr>
        <sz val="9"/>
        <rFont val="微软雅黑"/>
        <family val="2"/>
        <charset val="134"/>
      </rPr>
      <t>全球</t>
    </r>
    <r>
      <rPr>
        <sz val="9"/>
        <rFont val="Arial"/>
        <family val="2"/>
      </rPr>
      <t>2021</t>
    </r>
    <r>
      <rPr>
        <sz val="9"/>
        <rFont val="微软雅黑"/>
        <family val="2"/>
        <charset val="134"/>
      </rPr>
      <t>年</t>
    </r>
    <r>
      <rPr>
        <sz val="9"/>
        <rFont val="Arial"/>
        <family val="2"/>
      </rPr>
      <t>2</t>
    </r>
    <r>
      <rPr>
        <sz val="9"/>
        <rFont val="微软雅黑"/>
        <family val="2"/>
        <charset val="134"/>
      </rPr>
      <t>月装机量企业排名</t>
    </r>
  </si>
  <si>
    <r>
      <rPr>
        <sz val="9"/>
        <color theme="1"/>
        <rFont val="微软雅黑"/>
        <family val="2"/>
        <charset val="134"/>
      </rPr>
      <t>全球</t>
    </r>
    <r>
      <rPr>
        <sz val="9"/>
        <color theme="1"/>
        <rFont val="Arial"/>
        <family val="2"/>
      </rPr>
      <t>2021</t>
    </r>
    <r>
      <rPr>
        <sz val="9"/>
        <color theme="1"/>
        <rFont val="微软雅黑"/>
        <family val="2"/>
        <charset val="134"/>
      </rPr>
      <t>年</t>
    </r>
    <r>
      <rPr>
        <sz val="9"/>
        <color theme="1"/>
        <rFont val="Arial"/>
        <family val="2"/>
      </rPr>
      <t>1-2</t>
    </r>
    <r>
      <rPr>
        <sz val="9"/>
        <color theme="1"/>
        <rFont val="微软雅黑"/>
        <family val="2"/>
        <charset val="134"/>
      </rPr>
      <t>月装机量企业排名</t>
    </r>
  </si>
  <si>
    <r>
      <t>2021</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2</t>
    </r>
    <r>
      <rPr>
        <sz val="9"/>
        <color theme="1"/>
        <rFont val="微软雅黑"/>
        <family val="2"/>
        <charset val="134"/>
      </rPr>
      <t>月</t>
    </r>
  </si>
  <si>
    <r>
      <t>2020</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2</t>
    </r>
    <r>
      <rPr>
        <sz val="9"/>
        <color theme="1"/>
        <rFont val="微软雅黑"/>
        <family val="2"/>
        <charset val="134"/>
      </rPr>
      <t>月</t>
    </r>
  </si>
  <si>
    <r>
      <rPr>
        <sz val="9"/>
        <rFont val="微软雅黑"/>
        <family val="2"/>
        <charset val="134"/>
      </rPr>
      <t>全球</t>
    </r>
    <r>
      <rPr>
        <sz val="9"/>
        <rFont val="Arial"/>
        <family val="2"/>
      </rPr>
      <t>2021</t>
    </r>
    <r>
      <rPr>
        <sz val="9"/>
        <rFont val="微软雅黑"/>
        <family val="2"/>
        <charset val="134"/>
      </rPr>
      <t>年</t>
    </r>
    <r>
      <rPr>
        <sz val="9"/>
        <rFont val="Arial"/>
        <family val="2"/>
      </rPr>
      <t>1</t>
    </r>
    <r>
      <rPr>
        <sz val="9"/>
        <rFont val="微软雅黑"/>
        <family val="2"/>
        <charset val="134"/>
      </rPr>
      <t>月装机量企业排名</t>
    </r>
  </si>
  <si>
    <t>-</t>
    <phoneticPr fontId="14" type="noConversion"/>
  </si>
  <si>
    <t>0. 59%</t>
  </si>
  <si>
    <t>-</t>
    <phoneticPr fontId="14" type="noConversion"/>
  </si>
  <si>
    <r>
      <rPr>
        <sz val="9"/>
        <color rgb="FF000000"/>
        <rFont val="微软雅黑"/>
        <family val="2"/>
        <charset val="134"/>
      </rPr>
      <t>瑞浦兰钧</t>
    </r>
  </si>
  <si>
    <r>
      <rPr>
        <sz val="9"/>
        <color rgb="FF000000"/>
        <rFont val="微软雅黑"/>
        <family val="2"/>
        <charset val="134"/>
      </rPr>
      <t>正力新能</t>
    </r>
  </si>
  <si>
    <r>
      <rPr>
        <sz val="9"/>
        <color rgb="FF000000"/>
        <rFont val="微软雅黑"/>
        <family val="2"/>
        <charset val="134"/>
      </rPr>
      <t>耀宁新能源</t>
    </r>
    <phoneticPr fontId="14" type="noConversion"/>
  </si>
  <si>
    <r>
      <rPr>
        <sz val="9"/>
        <color rgb="FF000000"/>
        <rFont val="微软雅黑"/>
        <family val="2"/>
        <charset val="134"/>
      </rPr>
      <t>因湃电池</t>
    </r>
  </si>
  <si>
    <r>
      <rPr>
        <sz val="9"/>
        <color rgb="FF000000"/>
        <rFont val="微软雅黑"/>
        <family val="2"/>
        <charset val="134"/>
      </rPr>
      <t>多氟多</t>
    </r>
  </si>
  <si>
    <r>
      <rPr>
        <sz val="9"/>
        <color rgb="FF000000"/>
        <rFont val="微软雅黑"/>
        <family val="2"/>
        <charset val="134"/>
      </rPr>
      <t>吉曜通行</t>
    </r>
  </si>
  <si>
    <r>
      <rPr>
        <sz val="9"/>
        <color theme="1"/>
        <rFont val="微软雅黑"/>
        <family val="2"/>
        <charset val="134"/>
      </rPr>
      <t>因湃电池</t>
    </r>
  </si>
  <si>
    <r>
      <rPr>
        <sz val="9"/>
        <color theme="1"/>
        <rFont val="微软雅黑"/>
        <family val="2"/>
        <charset val="134"/>
      </rPr>
      <t>多氟多</t>
    </r>
  </si>
  <si>
    <r>
      <t>2025</t>
    </r>
    <r>
      <rPr>
        <sz val="9"/>
        <color theme="1"/>
        <rFont val="微软雅黑"/>
        <family val="2"/>
        <charset val="134"/>
      </rPr>
      <t>年</t>
    </r>
    <r>
      <rPr>
        <sz val="9"/>
        <color theme="1"/>
        <rFont val="Arial"/>
        <family val="2"/>
      </rPr>
      <t>12</t>
    </r>
    <r>
      <rPr>
        <sz val="9"/>
        <color theme="1"/>
        <rFont val="微软雅黑"/>
        <family val="2"/>
        <charset val="134"/>
      </rPr>
      <t>月数据</t>
    </r>
    <phoneticPr fontId="14" type="noConversion"/>
  </si>
  <si>
    <r>
      <t>2025</t>
    </r>
    <r>
      <rPr>
        <sz val="9"/>
        <color theme="1"/>
        <rFont val="微软雅黑"/>
        <family val="2"/>
        <charset val="134"/>
      </rPr>
      <t>年</t>
    </r>
    <r>
      <rPr>
        <sz val="9"/>
        <color theme="1"/>
        <rFont val="Arial"/>
        <family val="2"/>
      </rPr>
      <t>1-12</t>
    </r>
    <r>
      <rPr>
        <sz val="9"/>
        <color theme="1"/>
        <rFont val="微软雅黑"/>
        <family val="2"/>
        <charset val="134"/>
      </rPr>
      <t>月数据</t>
    </r>
  </si>
  <si>
    <r>
      <t>2025</t>
    </r>
    <r>
      <rPr>
        <sz val="9"/>
        <color theme="1"/>
        <rFont val="微软雅黑"/>
        <family val="2"/>
        <charset val="134"/>
      </rPr>
      <t>年</t>
    </r>
    <r>
      <rPr>
        <sz val="9"/>
        <color theme="1"/>
        <rFont val="Arial"/>
        <family val="2"/>
      </rPr>
      <t>12</t>
    </r>
    <r>
      <rPr>
        <sz val="9"/>
        <color theme="1"/>
        <rFont val="微软雅黑"/>
        <family val="2"/>
        <charset val="134"/>
      </rPr>
      <t>月磷酸铁锂装车</t>
    </r>
  </si>
  <si>
    <r>
      <t>2025</t>
    </r>
    <r>
      <rPr>
        <sz val="9"/>
        <color theme="1"/>
        <rFont val="微软雅黑"/>
        <family val="2"/>
        <charset val="134"/>
      </rPr>
      <t>年</t>
    </r>
    <r>
      <rPr>
        <sz val="9"/>
        <color theme="1"/>
        <rFont val="Arial"/>
        <family val="2"/>
      </rPr>
      <t>12</t>
    </r>
    <r>
      <rPr>
        <sz val="9"/>
        <color theme="1"/>
        <rFont val="微软雅黑"/>
        <family val="2"/>
        <charset val="134"/>
      </rPr>
      <t>月三元装车</t>
    </r>
  </si>
  <si>
    <r>
      <rPr>
        <sz val="9"/>
        <color rgb="FF000000"/>
        <rFont val="微软雅黑"/>
        <family val="2"/>
        <charset val="134"/>
      </rPr>
      <t>序号</t>
    </r>
  </si>
  <si>
    <r>
      <rPr>
        <sz val="9"/>
        <color rgb="FF000000"/>
        <rFont val="微软雅黑"/>
        <family val="2"/>
        <charset val="134"/>
      </rPr>
      <t>企业名称</t>
    </r>
  </si>
  <si>
    <r>
      <rPr>
        <sz val="9"/>
        <color rgb="FF000000"/>
        <rFont val="微软雅黑"/>
        <family val="2"/>
        <charset val="134"/>
      </rPr>
      <t>装车量（</t>
    </r>
    <r>
      <rPr>
        <sz val="9"/>
        <color rgb="FF000000"/>
        <rFont val="Arial"/>
        <family val="2"/>
      </rPr>
      <t>GWh</t>
    </r>
    <r>
      <rPr>
        <sz val="9"/>
        <color rgb="FF000000"/>
        <rFont val="微软雅黑"/>
        <family val="2"/>
        <charset val="134"/>
      </rPr>
      <t>）</t>
    </r>
  </si>
  <si>
    <r>
      <rPr>
        <sz val="9"/>
        <color rgb="FF000000"/>
        <rFont val="微软雅黑"/>
        <family val="2"/>
        <charset val="134"/>
      </rPr>
      <t>占比</t>
    </r>
  </si>
  <si>
    <r>
      <rPr>
        <sz val="9"/>
        <color rgb="FF000000"/>
        <rFont val="微软雅黑"/>
        <family val="2"/>
        <charset val="134"/>
      </rPr>
      <t>装车量占比</t>
    </r>
  </si>
  <si>
    <r>
      <rPr>
        <sz val="9"/>
        <color rgb="FF000000"/>
        <rFont val="微软雅黑"/>
        <family val="2"/>
        <charset val="134"/>
      </rPr>
      <t>巨湾技研</t>
    </r>
  </si>
  <si>
    <r>
      <rPr>
        <sz val="9"/>
        <color rgb="FF000000"/>
        <rFont val="微软雅黑"/>
        <family val="2"/>
        <charset val="134"/>
      </rPr>
      <t>欣旺达</t>
    </r>
    <phoneticPr fontId="14" type="noConversion"/>
  </si>
  <si>
    <r>
      <rPr>
        <sz val="9"/>
        <color rgb="FF000000"/>
        <rFont val="微软雅黑"/>
        <family val="2"/>
        <charset val="134"/>
      </rPr>
      <t>蜂巢能源</t>
    </r>
    <phoneticPr fontId="14" type="noConversion"/>
  </si>
  <si>
    <r>
      <rPr>
        <sz val="9"/>
        <color rgb="FF000000"/>
        <rFont val="微软雅黑"/>
        <family val="2"/>
        <charset val="134"/>
      </rPr>
      <t>荣盛盟固利</t>
    </r>
  </si>
  <si>
    <r>
      <rPr>
        <sz val="9"/>
        <color rgb="FF000000"/>
        <rFont val="微软雅黑"/>
        <family val="2"/>
        <charset val="134"/>
      </rPr>
      <t>远航锦锂</t>
    </r>
  </si>
  <si>
    <r>
      <rPr>
        <sz val="9"/>
        <color rgb="FF000000"/>
        <rFont val="微软雅黑"/>
        <family val="2"/>
        <charset val="134"/>
      </rPr>
      <t>正力新能</t>
    </r>
    <phoneticPr fontId="14" type="noConversion"/>
  </si>
  <si>
    <r>
      <rPr>
        <sz val="9"/>
        <color rgb="FF000000"/>
        <rFont val="微软雅黑"/>
        <family val="2"/>
        <charset val="134"/>
      </rPr>
      <t>远航锦锂</t>
    </r>
    <phoneticPr fontId="14" type="noConversion"/>
  </si>
  <si>
    <r>
      <rPr>
        <sz val="9"/>
        <color rgb="FF000000"/>
        <rFont val="微软雅黑"/>
        <family val="2"/>
        <charset val="134"/>
      </rPr>
      <t>微宏动力</t>
    </r>
  </si>
  <si>
    <r>
      <rPr>
        <sz val="9"/>
        <color rgb="FF000000"/>
        <rFont val="微软雅黑"/>
        <family val="2"/>
        <charset val="134"/>
      </rPr>
      <t>巨湾技研</t>
    </r>
    <phoneticPr fontId="14" type="noConversion"/>
  </si>
  <si>
    <r>
      <rPr>
        <sz val="9"/>
        <color rgb="FF000000"/>
        <rFont val="微软雅黑"/>
        <family val="2"/>
        <charset val="134"/>
      </rPr>
      <t>楚能新能源</t>
    </r>
  </si>
  <si>
    <r>
      <rPr>
        <sz val="9"/>
        <color theme="1"/>
        <rFont val="微软雅黑"/>
        <family val="2"/>
        <charset val="134"/>
      </rPr>
      <t>楚能新能源</t>
    </r>
  </si>
  <si>
    <r>
      <rPr>
        <sz val="9"/>
        <color theme="1"/>
        <rFont val="微软雅黑"/>
        <family val="2"/>
        <charset val="134"/>
      </rPr>
      <t>赣锋锂电</t>
    </r>
    <phoneticPr fontId="14" type="noConversion"/>
  </si>
  <si>
    <r>
      <t>2025</t>
    </r>
    <r>
      <rPr>
        <sz val="9"/>
        <color theme="1"/>
        <rFont val="微软雅黑"/>
        <family val="2"/>
        <charset val="134"/>
      </rPr>
      <t>年</t>
    </r>
    <r>
      <rPr>
        <sz val="9"/>
        <color theme="1"/>
        <rFont val="Arial"/>
        <family val="2"/>
      </rPr>
      <t>11</t>
    </r>
    <r>
      <rPr>
        <sz val="9"/>
        <color theme="1"/>
        <rFont val="微软雅黑"/>
        <family val="2"/>
        <charset val="134"/>
      </rPr>
      <t>月数据</t>
    </r>
  </si>
  <si>
    <r>
      <t>2025</t>
    </r>
    <r>
      <rPr>
        <sz val="9"/>
        <color theme="1"/>
        <rFont val="微软雅黑"/>
        <family val="2"/>
        <charset val="134"/>
      </rPr>
      <t>年</t>
    </r>
    <r>
      <rPr>
        <sz val="9"/>
        <color theme="1"/>
        <rFont val="Arial"/>
        <family val="2"/>
      </rPr>
      <t>1-11</t>
    </r>
    <r>
      <rPr>
        <sz val="9"/>
        <color theme="1"/>
        <rFont val="微软雅黑"/>
        <family val="2"/>
        <charset val="134"/>
      </rPr>
      <t>月数据</t>
    </r>
  </si>
  <si>
    <r>
      <t>2025</t>
    </r>
    <r>
      <rPr>
        <sz val="9"/>
        <color theme="1"/>
        <rFont val="微软雅黑"/>
        <family val="2"/>
        <charset val="134"/>
      </rPr>
      <t>年</t>
    </r>
    <r>
      <rPr>
        <sz val="9"/>
        <color theme="1"/>
        <rFont val="Arial"/>
        <family val="2"/>
      </rPr>
      <t>11</t>
    </r>
    <r>
      <rPr>
        <sz val="9"/>
        <color theme="1"/>
        <rFont val="微软雅黑"/>
        <family val="2"/>
        <charset val="134"/>
      </rPr>
      <t>月磷酸铁锂装车</t>
    </r>
  </si>
  <si>
    <r>
      <t>2025</t>
    </r>
    <r>
      <rPr>
        <sz val="9"/>
        <color theme="1"/>
        <rFont val="微软雅黑"/>
        <family val="2"/>
        <charset val="134"/>
      </rPr>
      <t>年</t>
    </r>
    <r>
      <rPr>
        <sz val="9"/>
        <color theme="1"/>
        <rFont val="Arial"/>
        <family val="2"/>
      </rPr>
      <t>11</t>
    </r>
    <r>
      <rPr>
        <sz val="9"/>
        <color theme="1"/>
        <rFont val="微软雅黑"/>
        <family val="2"/>
        <charset val="134"/>
      </rPr>
      <t>月三元装车</t>
    </r>
  </si>
  <si>
    <r>
      <rPr>
        <sz val="9"/>
        <color theme="1"/>
        <rFont val="微软雅黑"/>
        <family val="2"/>
        <charset val="134"/>
      </rPr>
      <t>巨湾技研</t>
    </r>
  </si>
  <si>
    <r>
      <rPr>
        <sz val="9"/>
        <color theme="1"/>
        <rFont val="微软雅黑"/>
        <family val="2"/>
        <charset val="134"/>
      </rPr>
      <t>荣盛盟固利</t>
    </r>
  </si>
  <si>
    <r>
      <rPr>
        <sz val="9"/>
        <color rgb="FF000000"/>
        <rFont val="微软雅黑"/>
        <family val="2"/>
        <charset val="134"/>
      </rPr>
      <t>孚能科技</t>
    </r>
  </si>
  <si>
    <r>
      <rPr>
        <sz val="9"/>
        <color theme="1"/>
        <rFont val="微软雅黑"/>
        <family val="2"/>
        <charset val="134"/>
      </rPr>
      <t>远航锦锂</t>
    </r>
  </si>
  <si>
    <r>
      <t>2025</t>
    </r>
    <r>
      <rPr>
        <sz val="9"/>
        <color theme="1"/>
        <rFont val="微软雅黑"/>
        <family val="2"/>
        <charset val="134"/>
      </rPr>
      <t>年</t>
    </r>
    <r>
      <rPr>
        <sz val="9"/>
        <color theme="1"/>
        <rFont val="Arial"/>
        <family val="2"/>
      </rPr>
      <t>10</t>
    </r>
    <r>
      <rPr>
        <sz val="9"/>
        <color theme="1"/>
        <rFont val="微软雅黑"/>
        <family val="2"/>
        <charset val="134"/>
      </rPr>
      <t>月数据</t>
    </r>
  </si>
  <si>
    <r>
      <t>2025</t>
    </r>
    <r>
      <rPr>
        <sz val="9"/>
        <color theme="1"/>
        <rFont val="微软雅黑"/>
        <family val="2"/>
        <charset val="134"/>
      </rPr>
      <t>年</t>
    </r>
    <r>
      <rPr>
        <sz val="9"/>
        <color theme="1"/>
        <rFont val="Arial"/>
        <family val="2"/>
      </rPr>
      <t>1-10</t>
    </r>
    <r>
      <rPr>
        <sz val="9"/>
        <color theme="1"/>
        <rFont val="微软雅黑"/>
        <family val="2"/>
        <charset val="134"/>
      </rPr>
      <t>月数据</t>
    </r>
  </si>
  <si>
    <r>
      <t>2025</t>
    </r>
    <r>
      <rPr>
        <sz val="9"/>
        <color theme="1"/>
        <rFont val="微软雅黑"/>
        <family val="2"/>
        <charset val="134"/>
      </rPr>
      <t>年</t>
    </r>
    <r>
      <rPr>
        <sz val="9"/>
        <color theme="1"/>
        <rFont val="Arial"/>
        <family val="2"/>
      </rPr>
      <t>10</t>
    </r>
    <r>
      <rPr>
        <sz val="9"/>
        <color theme="1"/>
        <rFont val="微软雅黑"/>
        <family val="2"/>
        <charset val="134"/>
      </rPr>
      <t>月磷酸铁锂装车</t>
    </r>
  </si>
  <si>
    <r>
      <t>2025</t>
    </r>
    <r>
      <rPr>
        <sz val="9"/>
        <color theme="1"/>
        <rFont val="微软雅黑"/>
        <family val="2"/>
        <charset val="134"/>
      </rPr>
      <t>年</t>
    </r>
    <r>
      <rPr>
        <sz val="9"/>
        <color theme="1"/>
        <rFont val="Arial"/>
        <family val="2"/>
      </rPr>
      <t>10</t>
    </r>
    <r>
      <rPr>
        <sz val="9"/>
        <color theme="1"/>
        <rFont val="微软雅黑"/>
        <family val="2"/>
        <charset val="134"/>
      </rPr>
      <t>月三元装车</t>
    </r>
  </si>
  <si>
    <r>
      <rPr>
        <sz val="9"/>
        <color rgb="FF000000"/>
        <rFont val="微软雅黑"/>
        <family val="2"/>
        <charset val="134"/>
      </rPr>
      <t>中汽新能</t>
    </r>
  </si>
  <si>
    <r>
      <t>2025</t>
    </r>
    <r>
      <rPr>
        <sz val="9"/>
        <color theme="1"/>
        <rFont val="微软雅黑"/>
        <family val="2"/>
        <charset val="134"/>
      </rPr>
      <t>年</t>
    </r>
    <r>
      <rPr>
        <sz val="9"/>
        <color theme="1"/>
        <rFont val="Arial"/>
        <family val="2"/>
      </rPr>
      <t>9</t>
    </r>
    <r>
      <rPr>
        <sz val="9"/>
        <color theme="1"/>
        <rFont val="微软雅黑"/>
        <family val="2"/>
        <charset val="134"/>
      </rPr>
      <t>月数据</t>
    </r>
  </si>
  <si>
    <r>
      <t>2025</t>
    </r>
    <r>
      <rPr>
        <sz val="9"/>
        <color theme="1"/>
        <rFont val="微软雅黑"/>
        <family val="2"/>
        <charset val="134"/>
      </rPr>
      <t>年</t>
    </r>
    <r>
      <rPr>
        <sz val="9"/>
        <color theme="1"/>
        <rFont val="Arial"/>
        <family val="2"/>
      </rPr>
      <t>1-9</t>
    </r>
    <r>
      <rPr>
        <sz val="9"/>
        <color theme="1"/>
        <rFont val="微软雅黑"/>
        <family val="2"/>
        <charset val="134"/>
      </rPr>
      <t>月数据</t>
    </r>
  </si>
  <si>
    <r>
      <t>2025</t>
    </r>
    <r>
      <rPr>
        <sz val="9"/>
        <color theme="1"/>
        <rFont val="微软雅黑"/>
        <family val="2"/>
        <charset val="134"/>
      </rPr>
      <t>年</t>
    </r>
    <r>
      <rPr>
        <sz val="9"/>
        <color theme="1"/>
        <rFont val="Arial"/>
        <family val="2"/>
      </rPr>
      <t>9</t>
    </r>
    <r>
      <rPr>
        <sz val="9"/>
        <color theme="1"/>
        <rFont val="微软雅黑"/>
        <family val="2"/>
        <charset val="134"/>
      </rPr>
      <t>月磷酸铁锂装车</t>
    </r>
  </si>
  <si>
    <r>
      <t>2025</t>
    </r>
    <r>
      <rPr>
        <sz val="9"/>
        <color theme="1"/>
        <rFont val="微软雅黑"/>
        <family val="2"/>
        <charset val="134"/>
      </rPr>
      <t>年</t>
    </r>
    <r>
      <rPr>
        <sz val="9"/>
        <color theme="1"/>
        <rFont val="Arial"/>
        <family val="2"/>
      </rPr>
      <t>9</t>
    </r>
    <r>
      <rPr>
        <sz val="9"/>
        <color theme="1"/>
        <rFont val="微软雅黑"/>
        <family val="2"/>
        <charset val="134"/>
      </rPr>
      <t>月三元装车</t>
    </r>
  </si>
  <si>
    <r>
      <rPr>
        <sz val="9"/>
        <color rgb="FF000000"/>
        <rFont val="微软雅黑"/>
        <family val="2"/>
        <charset val="134"/>
      </rPr>
      <t>装车量</t>
    </r>
    <r>
      <rPr>
        <sz val="9"/>
        <color rgb="FF000000"/>
        <rFont val="Arial"/>
        <family val="2"/>
      </rPr>
      <t xml:space="preserve"> (GWh)</t>
    </r>
  </si>
  <si>
    <r>
      <rPr>
        <sz val="9"/>
        <color theme="1"/>
        <rFont val="微软雅黑"/>
        <family val="2"/>
        <charset val="134"/>
      </rPr>
      <t>瑞浦兰钧</t>
    </r>
  </si>
  <si>
    <r>
      <rPr>
        <sz val="9"/>
        <color theme="1"/>
        <rFont val="微软雅黑"/>
        <family val="2"/>
        <charset val="134"/>
      </rPr>
      <t>正力新能</t>
    </r>
  </si>
  <si>
    <r>
      <t>LG</t>
    </r>
    <r>
      <rPr>
        <sz val="9"/>
        <color theme="1"/>
        <rFont val="微软雅黑"/>
        <family val="2"/>
        <charset val="134"/>
      </rPr>
      <t>新能源</t>
    </r>
    <phoneticPr fontId="14" type="noConversion"/>
  </si>
  <si>
    <r>
      <rPr>
        <sz val="9"/>
        <color rgb="FF000000"/>
        <rFont val="微软雅黑"/>
        <family val="2"/>
        <charset val="134"/>
      </rPr>
      <t>楚能新源</t>
    </r>
  </si>
  <si>
    <r>
      <rPr>
        <sz val="9"/>
        <color rgb="FF000000"/>
        <rFont val="微软雅黑"/>
        <family val="2"/>
        <charset val="134"/>
      </rPr>
      <t>因湃电池</t>
    </r>
    <phoneticPr fontId="14" type="noConversion"/>
  </si>
  <si>
    <r>
      <rPr>
        <sz val="9"/>
        <color rgb="FF000000"/>
        <rFont val="微软雅黑"/>
        <family val="2"/>
        <charset val="134"/>
      </rPr>
      <t>远航锦鲤</t>
    </r>
    <phoneticPr fontId="14" type="noConversion"/>
  </si>
  <si>
    <r>
      <rPr>
        <sz val="9"/>
        <color rgb="FF000000"/>
        <rFont val="微软雅黑"/>
        <family val="2"/>
        <charset val="134"/>
      </rPr>
      <t>赣锋锂电</t>
    </r>
  </si>
  <si>
    <r>
      <t>2025</t>
    </r>
    <r>
      <rPr>
        <sz val="9"/>
        <color theme="1"/>
        <rFont val="微软雅黑"/>
        <family val="2"/>
        <charset val="134"/>
      </rPr>
      <t>年</t>
    </r>
    <r>
      <rPr>
        <sz val="9"/>
        <color theme="1"/>
        <rFont val="Arial"/>
        <family val="2"/>
      </rPr>
      <t>8</t>
    </r>
    <r>
      <rPr>
        <sz val="9"/>
        <color theme="1"/>
        <rFont val="微软雅黑"/>
        <family val="2"/>
        <charset val="134"/>
      </rPr>
      <t>月数据</t>
    </r>
  </si>
  <si>
    <r>
      <t>2025</t>
    </r>
    <r>
      <rPr>
        <sz val="9"/>
        <color theme="1"/>
        <rFont val="微软雅黑"/>
        <family val="2"/>
        <charset val="134"/>
      </rPr>
      <t>年</t>
    </r>
    <r>
      <rPr>
        <sz val="9"/>
        <color theme="1"/>
        <rFont val="Arial"/>
        <family val="2"/>
      </rPr>
      <t>1-8</t>
    </r>
    <r>
      <rPr>
        <sz val="9"/>
        <color theme="1"/>
        <rFont val="微软雅黑"/>
        <family val="2"/>
        <charset val="134"/>
      </rPr>
      <t>月数据</t>
    </r>
  </si>
  <si>
    <r>
      <t>2025</t>
    </r>
    <r>
      <rPr>
        <sz val="9"/>
        <color theme="1"/>
        <rFont val="微软雅黑"/>
        <family val="2"/>
        <charset val="134"/>
      </rPr>
      <t>年</t>
    </r>
    <r>
      <rPr>
        <sz val="9"/>
        <color theme="1"/>
        <rFont val="Arial"/>
        <family val="2"/>
      </rPr>
      <t>8</t>
    </r>
    <r>
      <rPr>
        <sz val="9"/>
        <color theme="1"/>
        <rFont val="微软雅黑"/>
        <family val="2"/>
        <charset val="134"/>
      </rPr>
      <t>月磷酸铁锂装车</t>
    </r>
  </si>
  <si>
    <r>
      <t>2025</t>
    </r>
    <r>
      <rPr>
        <sz val="9"/>
        <color theme="1"/>
        <rFont val="微软雅黑"/>
        <family val="2"/>
        <charset val="134"/>
      </rPr>
      <t>年</t>
    </r>
    <r>
      <rPr>
        <sz val="9"/>
        <color theme="1"/>
        <rFont val="Arial"/>
        <family val="2"/>
      </rPr>
      <t>8</t>
    </r>
    <r>
      <rPr>
        <sz val="9"/>
        <color theme="1"/>
        <rFont val="微软雅黑"/>
        <family val="2"/>
        <charset val="134"/>
      </rPr>
      <t>月三元装车</t>
    </r>
  </si>
  <si>
    <r>
      <rPr>
        <sz val="9"/>
        <color theme="1"/>
        <rFont val="微软雅黑"/>
        <family val="2"/>
        <charset val="134"/>
      </rPr>
      <t>序号</t>
    </r>
  </si>
  <si>
    <r>
      <rPr>
        <sz val="9"/>
        <color theme="1"/>
        <rFont val="微软雅黑"/>
        <family val="2"/>
        <charset val="134"/>
      </rPr>
      <t>企业名称</t>
    </r>
  </si>
  <si>
    <r>
      <rPr>
        <sz val="9"/>
        <color theme="1"/>
        <rFont val="微软雅黑"/>
        <family val="2"/>
        <charset val="134"/>
      </rPr>
      <t>装车量（</t>
    </r>
    <r>
      <rPr>
        <sz val="9"/>
        <color theme="1"/>
        <rFont val="Arial"/>
        <family val="2"/>
      </rPr>
      <t>GWh</t>
    </r>
    <r>
      <rPr>
        <sz val="9"/>
        <color theme="1"/>
        <rFont val="微软雅黑"/>
        <family val="2"/>
        <charset val="134"/>
      </rPr>
      <t>）</t>
    </r>
  </si>
  <si>
    <r>
      <rPr>
        <sz val="9"/>
        <color theme="1"/>
        <rFont val="微软雅黑"/>
        <family val="2"/>
        <charset val="134"/>
      </rPr>
      <t>装车量占比</t>
    </r>
  </si>
  <si>
    <r>
      <rPr>
        <sz val="9"/>
        <color theme="1"/>
        <rFont val="微软雅黑"/>
        <family val="2"/>
        <charset val="134"/>
      </rPr>
      <t>占比</t>
    </r>
  </si>
  <si>
    <r>
      <rPr>
        <sz val="9"/>
        <color theme="1"/>
        <rFont val="微软雅黑"/>
        <family val="2"/>
        <charset val="134"/>
      </rPr>
      <t>吉曜通行</t>
    </r>
  </si>
  <si>
    <r>
      <rPr>
        <sz val="9"/>
        <color theme="1"/>
        <rFont val="微软雅黑"/>
        <family val="2"/>
        <charset val="134"/>
      </rPr>
      <t>中汽新能</t>
    </r>
  </si>
  <si>
    <r>
      <rPr>
        <sz val="9"/>
        <color theme="1"/>
        <rFont val="微软雅黑"/>
        <family val="2"/>
        <charset val="134"/>
      </rPr>
      <t>赣锋锂电</t>
    </r>
  </si>
  <si>
    <r>
      <t>2025</t>
    </r>
    <r>
      <rPr>
        <sz val="9"/>
        <color theme="1"/>
        <rFont val="微软雅黑"/>
        <family val="2"/>
        <charset val="134"/>
      </rPr>
      <t>年</t>
    </r>
    <r>
      <rPr>
        <sz val="9"/>
        <color theme="1"/>
        <rFont val="Arial"/>
        <family val="2"/>
      </rPr>
      <t>7</t>
    </r>
    <r>
      <rPr>
        <sz val="9"/>
        <color theme="1"/>
        <rFont val="微软雅黑"/>
        <family val="2"/>
        <charset val="134"/>
      </rPr>
      <t>月数据</t>
    </r>
  </si>
  <si>
    <r>
      <t>2025</t>
    </r>
    <r>
      <rPr>
        <sz val="9"/>
        <color theme="1"/>
        <rFont val="微软雅黑"/>
        <family val="2"/>
        <charset val="134"/>
      </rPr>
      <t>年</t>
    </r>
    <r>
      <rPr>
        <sz val="9"/>
        <color theme="1"/>
        <rFont val="Arial"/>
        <family val="2"/>
      </rPr>
      <t>1-7</t>
    </r>
    <r>
      <rPr>
        <sz val="9"/>
        <color theme="1"/>
        <rFont val="微软雅黑"/>
        <family val="2"/>
        <charset val="134"/>
      </rPr>
      <t>月数据</t>
    </r>
  </si>
  <si>
    <r>
      <t>2025</t>
    </r>
    <r>
      <rPr>
        <sz val="9"/>
        <color theme="1"/>
        <rFont val="微软雅黑"/>
        <family val="2"/>
        <charset val="134"/>
      </rPr>
      <t>年</t>
    </r>
    <r>
      <rPr>
        <sz val="9"/>
        <color theme="1"/>
        <rFont val="Arial"/>
        <family val="2"/>
      </rPr>
      <t>7</t>
    </r>
    <r>
      <rPr>
        <sz val="9"/>
        <color theme="1"/>
        <rFont val="微软雅黑"/>
        <family val="2"/>
        <charset val="134"/>
      </rPr>
      <t>月磷酸铁锂装车</t>
    </r>
  </si>
  <si>
    <r>
      <t>2025</t>
    </r>
    <r>
      <rPr>
        <sz val="9"/>
        <color theme="1"/>
        <rFont val="微软雅黑"/>
        <family val="2"/>
        <charset val="134"/>
      </rPr>
      <t>年</t>
    </r>
    <r>
      <rPr>
        <sz val="9"/>
        <color theme="1"/>
        <rFont val="Arial"/>
        <family val="2"/>
      </rPr>
      <t>7</t>
    </r>
    <r>
      <rPr>
        <sz val="9"/>
        <color theme="1"/>
        <rFont val="微软雅黑"/>
        <family val="2"/>
        <charset val="134"/>
      </rPr>
      <t>月三元装车</t>
    </r>
  </si>
  <si>
    <r>
      <rPr>
        <sz val="9"/>
        <color theme="1"/>
        <rFont val="微软雅黑"/>
        <family val="2"/>
        <charset val="134"/>
      </rPr>
      <t>捷威动力</t>
    </r>
  </si>
  <si>
    <r>
      <t>2025</t>
    </r>
    <r>
      <rPr>
        <sz val="9"/>
        <color theme="1"/>
        <rFont val="微软雅黑"/>
        <family val="2"/>
        <charset val="134"/>
      </rPr>
      <t>年</t>
    </r>
    <r>
      <rPr>
        <sz val="9"/>
        <color theme="1"/>
        <rFont val="Arial"/>
        <family val="2"/>
      </rPr>
      <t>6</t>
    </r>
    <r>
      <rPr>
        <sz val="9"/>
        <color theme="1"/>
        <rFont val="微软雅黑"/>
        <family val="2"/>
        <charset val="134"/>
      </rPr>
      <t>月数据</t>
    </r>
  </si>
  <si>
    <r>
      <t>2025</t>
    </r>
    <r>
      <rPr>
        <sz val="9"/>
        <color theme="1"/>
        <rFont val="微软雅黑"/>
        <family val="2"/>
        <charset val="134"/>
      </rPr>
      <t>年</t>
    </r>
    <r>
      <rPr>
        <sz val="9"/>
        <color theme="1"/>
        <rFont val="Arial"/>
        <family val="2"/>
      </rPr>
      <t>1-6</t>
    </r>
    <r>
      <rPr>
        <sz val="9"/>
        <color theme="1"/>
        <rFont val="微软雅黑"/>
        <family val="2"/>
        <charset val="134"/>
      </rPr>
      <t>月数据</t>
    </r>
  </si>
  <si>
    <r>
      <t>2025</t>
    </r>
    <r>
      <rPr>
        <sz val="9"/>
        <color theme="1"/>
        <rFont val="微软雅黑"/>
        <family val="2"/>
        <charset val="134"/>
      </rPr>
      <t>年</t>
    </r>
    <r>
      <rPr>
        <sz val="9"/>
        <color theme="1"/>
        <rFont val="Arial"/>
        <family val="2"/>
      </rPr>
      <t>6</t>
    </r>
    <r>
      <rPr>
        <sz val="9"/>
        <color theme="1"/>
        <rFont val="微软雅黑"/>
        <family val="2"/>
        <charset val="134"/>
      </rPr>
      <t>月磷酸铁锂装车</t>
    </r>
  </si>
  <si>
    <r>
      <t>2025</t>
    </r>
    <r>
      <rPr>
        <sz val="9"/>
        <color theme="1"/>
        <rFont val="微软雅黑"/>
        <family val="2"/>
        <charset val="134"/>
      </rPr>
      <t>年</t>
    </r>
    <r>
      <rPr>
        <sz val="9"/>
        <color theme="1"/>
        <rFont val="Arial"/>
        <family val="2"/>
      </rPr>
      <t>6</t>
    </r>
    <r>
      <rPr>
        <sz val="9"/>
        <color theme="1"/>
        <rFont val="微软雅黑"/>
        <family val="2"/>
        <charset val="134"/>
      </rPr>
      <t>月三元装车</t>
    </r>
  </si>
  <si>
    <r>
      <rPr>
        <sz val="9"/>
        <color rgb="FF000000"/>
        <rFont val="微软雅黑"/>
        <family val="2"/>
        <charset val="134"/>
      </rPr>
      <t>极电新能源</t>
    </r>
  </si>
  <si>
    <r>
      <rPr>
        <sz val="9"/>
        <color theme="1"/>
        <rFont val="微软雅黑"/>
        <family val="2"/>
        <charset val="134"/>
      </rPr>
      <t>极电新能源</t>
    </r>
  </si>
  <si>
    <r>
      <rPr>
        <sz val="9"/>
        <color theme="1"/>
        <rFont val="微软雅黑"/>
        <family val="2"/>
        <charset val="134"/>
      </rPr>
      <t>力神</t>
    </r>
  </si>
  <si>
    <r>
      <t>2025</t>
    </r>
    <r>
      <rPr>
        <sz val="9"/>
        <color theme="1"/>
        <rFont val="微软雅黑"/>
        <family val="2"/>
        <charset val="134"/>
      </rPr>
      <t>年</t>
    </r>
    <r>
      <rPr>
        <sz val="9"/>
        <color theme="1"/>
        <rFont val="Arial"/>
        <family val="2"/>
      </rPr>
      <t>5</t>
    </r>
    <r>
      <rPr>
        <sz val="9"/>
        <color theme="1"/>
        <rFont val="微软雅黑"/>
        <family val="2"/>
        <charset val="134"/>
      </rPr>
      <t>月数据</t>
    </r>
  </si>
  <si>
    <r>
      <t>2025</t>
    </r>
    <r>
      <rPr>
        <sz val="9"/>
        <color theme="1"/>
        <rFont val="微软雅黑"/>
        <family val="2"/>
        <charset val="134"/>
      </rPr>
      <t>年</t>
    </r>
    <r>
      <rPr>
        <sz val="9"/>
        <color theme="1"/>
        <rFont val="Arial"/>
        <family val="2"/>
      </rPr>
      <t>1-5</t>
    </r>
    <r>
      <rPr>
        <sz val="9"/>
        <color theme="1"/>
        <rFont val="微软雅黑"/>
        <family val="2"/>
        <charset val="134"/>
      </rPr>
      <t>月数据</t>
    </r>
  </si>
  <si>
    <r>
      <t>2025</t>
    </r>
    <r>
      <rPr>
        <sz val="9"/>
        <color theme="1"/>
        <rFont val="微软雅黑"/>
        <family val="2"/>
        <charset val="134"/>
      </rPr>
      <t>年</t>
    </r>
    <r>
      <rPr>
        <sz val="9"/>
        <color theme="1"/>
        <rFont val="Arial"/>
        <family val="2"/>
      </rPr>
      <t>5</t>
    </r>
    <r>
      <rPr>
        <sz val="9"/>
        <color theme="1"/>
        <rFont val="微软雅黑"/>
        <family val="2"/>
        <charset val="134"/>
      </rPr>
      <t>月磷酸铁锂装车</t>
    </r>
  </si>
  <si>
    <r>
      <t>2025</t>
    </r>
    <r>
      <rPr>
        <sz val="9"/>
        <color theme="1"/>
        <rFont val="微软雅黑"/>
        <family val="2"/>
        <charset val="134"/>
      </rPr>
      <t>年</t>
    </r>
    <r>
      <rPr>
        <sz val="9"/>
        <color theme="1"/>
        <rFont val="Arial"/>
        <family val="2"/>
      </rPr>
      <t>5</t>
    </r>
    <r>
      <rPr>
        <sz val="9"/>
        <color theme="1"/>
        <rFont val="微软雅黑"/>
        <family val="2"/>
        <charset val="134"/>
      </rPr>
      <t>月三元装车</t>
    </r>
  </si>
  <si>
    <r>
      <rPr>
        <sz val="9"/>
        <color rgb="FF000000"/>
        <rFont val="微软雅黑"/>
        <family val="2"/>
        <charset val="134"/>
      </rPr>
      <t>占比（</t>
    </r>
    <r>
      <rPr>
        <sz val="9"/>
        <color rgb="FF000000"/>
        <rFont val="Arial"/>
        <family val="2"/>
      </rPr>
      <t>%</t>
    </r>
    <r>
      <rPr>
        <sz val="9"/>
        <color rgb="FF000000"/>
        <rFont val="微软雅黑"/>
        <family val="2"/>
        <charset val="134"/>
      </rPr>
      <t>）</t>
    </r>
  </si>
  <si>
    <r>
      <rPr>
        <sz val="9"/>
        <color theme="1"/>
        <rFont val="微软雅黑"/>
        <family val="2"/>
        <charset val="134"/>
      </rPr>
      <t>占比（</t>
    </r>
    <r>
      <rPr>
        <sz val="9"/>
        <color theme="1"/>
        <rFont val="Arial"/>
        <family val="2"/>
      </rPr>
      <t>%</t>
    </r>
    <r>
      <rPr>
        <sz val="9"/>
        <color theme="1"/>
        <rFont val="微软雅黑"/>
        <family val="2"/>
        <charset val="134"/>
      </rPr>
      <t>）</t>
    </r>
  </si>
  <si>
    <r>
      <rPr>
        <sz val="9"/>
        <color rgb="FF000000"/>
        <rFont val="微软雅黑"/>
        <family val="2"/>
        <charset val="134"/>
      </rPr>
      <t>极新能源</t>
    </r>
  </si>
  <si>
    <r>
      <rPr>
        <sz val="9"/>
        <color theme="1"/>
        <rFont val="微软雅黑"/>
        <family val="2"/>
        <charset val="134"/>
      </rPr>
      <t>微宏动力</t>
    </r>
  </si>
  <si>
    <r>
      <rPr>
        <sz val="9"/>
        <color rgb="FF000000"/>
        <rFont val="微软雅黑"/>
        <family val="2"/>
        <charset val="134"/>
      </rPr>
      <t>安驰新能源</t>
    </r>
  </si>
  <si>
    <r>
      <t>2025</t>
    </r>
    <r>
      <rPr>
        <sz val="9"/>
        <color theme="1"/>
        <rFont val="微软雅黑"/>
        <family val="2"/>
        <charset val="134"/>
      </rPr>
      <t>年</t>
    </r>
    <r>
      <rPr>
        <sz val="9"/>
        <color theme="1"/>
        <rFont val="Arial"/>
        <family val="2"/>
      </rPr>
      <t>4</t>
    </r>
    <r>
      <rPr>
        <sz val="9"/>
        <color theme="1"/>
        <rFont val="微软雅黑"/>
        <family val="2"/>
        <charset val="134"/>
      </rPr>
      <t>月数据</t>
    </r>
  </si>
  <si>
    <r>
      <t>2025</t>
    </r>
    <r>
      <rPr>
        <sz val="9"/>
        <color theme="1"/>
        <rFont val="微软雅黑"/>
        <family val="2"/>
        <charset val="134"/>
      </rPr>
      <t>年</t>
    </r>
    <r>
      <rPr>
        <sz val="9"/>
        <color theme="1"/>
        <rFont val="Arial"/>
        <family val="2"/>
      </rPr>
      <t>1-4</t>
    </r>
    <r>
      <rPr>
        <sz val="9"/>
        <color theme="1"/>
        <rFont val="微软雅黑"/>
        <family val="2"/>
        <charset val="134"/>
      </rPr>
      <t>月数据</t>
    </r>
  </si>
  <si>
    <r>
      <t>2025</t>
    </r>
    <r>
      <rPr>
        <sz val="9"/>
        <color theme="1"/>
        <rFont val="微软雅黑"/>
        <family val="2"/>
        <charset val="134"/>
      </rPr>
      <t>年</t>
    </r>
    <r>
      <rPr>
        <sz val="9"/>
        <color theme="1"/>
        <rFont val="Arial"/>
        <family val="2"/>
      </rPr>
      <t>4</t>
    </r>
    <r>
      <rPr>
        <sz val="9"/>
        <color theme="1"/>
        <rFont val="微软雅黑"/>
        <family val="2"/>
        <charset val="134"/>
      </rPr>
      <t>月磷酸铁锂装车</t>
    </r>
  </si>
  <si>
    <r>
      <t>2025</t>
    </r>
    <r>
      <rPr>
        <sz val="9"/>
        <color theme="1"/>
        <rFont val="微软雅黑"/>
        <family val="2"/>
        <charset val="134"/>
      </rPr>
      <t>年</t>
    </r>
    <r>
      <rPr>
        <sz val="9"/>
        <color theme="1"/>
        <rFont val="Arial"/>
        <family val="2"/>
      </rPr>
      <t>4</t>
    </r>
    <r>
      <rPr>
        <sz val="9"/>
        <color theme="1"/>
        <rFont val="微软雅黑"/>
        <family val="2"/>
        <charset val="134"/>
      </rPr>
      <t>月三元装车</t>
    </r>
  </si>
  <si>
    <r>
      <rPr>
        <sz val="9"/>
        <color theme="1"/>
        <rFont val="微软雅黑"/>
        <family val="2"/>
        <charset val="134"/>
      </rPr>
      <t>安驰新能源</t>
    </r>
  </si>
  <si>
    <r>
      <t>2025</t>
    </r>
    <r>
      <rPr>
        <sz val="9"/>
        <color theme="1"/>
        <rFont val="微软雅黑"/>
        <family val="2"/>
        <charset val="134"/>
      </rPr>
      <t>年</t>
    </r>
    <r>
      <rPr>
        <sz val="9"/>
        <color theme="1"/>
        <rFont val="Arial"/>
        <family val="2"/>
      </rPr>
      <t>3</t>
    </r>
    <r>
      <rPr>
        <sz val="9"/>
        <color theme="1"/>
        <rFont val="微软雅黑"/>
        <family val="2"/>
        <charset val="134"/>
      </rPr>
      <t>月数据</t>
    </r>
  </si>
  <si>
    <r>
      <t>2025</t>
    </r>
    <r>
      <rPr>
        <sz val="9"/>
        <color theme="1"/>
        <rFont val="微软雅黑"/>
        <family val="2"/>
        <charset val="134"/>
      </rPr>
      <t>年</t>
    </r>
    <r>
      <rPr>
        <sz val="9"/>
        <color theme="1"/>
        <rFont val="Arial"/>
        <family val="2"/>
      </rPr>
      <t>1-3</t>
    </r>
    <r>
      <rPr>
        <sz val="9"/>
        <color theme="1"/>
        <rFont val="微软雅黑"/>
        <family val="2"/>
        <charset val="134"/>
      </rPr>
      <t>月数据</t>
    </r>
  </si>
  <si>
    <r>
      <t>2025</t>
    </r>
    <r>
      <rPr>
        <sz val="9"/>
        <color theme="1"/>
        <rFont val="微软雅黑"/>
        <family val="2"/>
        <charset val="134"/>
      </rPr>
      <t>年</t>
    </r>
    <r>
      <rPr>
        <sz val="9"/>
        <color theme="1"/>
        <rFont val="Arial"/>
        <family val="2"/>
      </rPr>
      <t>3</t>
    </r>
    <r>
      <rPr>
        <sz val="9"/>
        <color theme="1"/>
        <rFont val="微软雅黑"/>
        <family val="2"/>
        <charset val="134"/>
      </rPr>
      <t>月磷酸铁锂装车</t>
    </r>
  </si>
  <si>
    <r>
      <t>2025</t>
    </r>
    <r>
      <rPr>
        <sz val="9"/>
        <color theme="1"/>
        <rFont val="微软雅黑"/>
        <family val="2"/>
        <charset val="134"/>
      </rPr>
      <t>年</t>
    </r>
    <r>
      <rPr>
        <sz val="9"/>
        <color theme="1"/>
        <rFont val="Arial"/>
        <family val="2"/>
      </rPr>
      <t>3</t>
    </r>
    <r>
      <rPr>
        <sz val="9"/>
        <color theme="1"/>
        <rFont val="微软雅黑"/>
        <family val="2"/>
        <charset val="134"/>
      </rPr>
      <t>月三元装车</t>
    </r>
  </si>
  <si>
    <r>
      <rPr>
        <sz val="9"/>
        <color rgb="FF000000"/>
        <rFont val="微软雅黑"/>
        <family val="2"/>
        <charset val="134"/>
      </rPr>
      <t>耀宁新能源</t>
    </r>
  </si>
  <si>
    <r>
      <t>2025</t>
    </r>
    <r>
      <rPr>
        <sz val="9"/>
        <color theme="1"/>
        <rFont val="微软雅黑"/>
        <family val="2"/>
        <charset val="134"/>
      </rPr>
      <t>年</t>
    </r>
    <r>
      <rPr>
        <sz val="9"/>
        <color theme="1"/>
        <rFont val="Arial"/>
        <family val="2"/>
      </rPr>
      <t>2</t>
    </r>
    <r>
      <rPr>
        <sz val="9"/>
        <color theme="1"/>
        <rFont val="微软雅黑"/>
        <family val="2"/>
        <charset val="134"/>
      </rPr>
      <t>月数据</t>
    </r>
  </si>
  <si>
    <r>
      <t>2025</t>
    </r>
    <r>
      <rPr>
        <sz val="9"/>
        <color theme="1"/>
        <rFont val="微软雅黑"/>
        <family val="2"/>
        <charset val="134"/>
      </rPr>
      <t>年</t>
    </r>
    <r>
      <rPr>
        <sz val="9"/>
        <color theme="1"/>
        <rFont val="Arial"/>
        <family val="2"/>
      </rPr>
      <t>1-2</t>
    </r>
    <r>
      <rPr>
        <sz val="9"/>
        <color theme="1"/>
        <rFont val="微软雅黑"/>
        <family val="2"/>
        <charset val="134"/>
      </rPr>
      <t>月数据</t>
    </r>
  </si>
  <si>
    <r>
      <t>2025</t>
    </r>
    <r>
      <rPr>
        <sz val="9"/>
        <color theme="1"/>
        <rFont val="微软雅黑"/>
        <family val="2"/>
        <charset val="134"/>
      </rPr>
      <t>年</t>
    </r>
    <r>
      <rPr>
        <sz val="9"/>
        <color theme="1"/>
        <rFont val="Arial"/>
        <family val="2"/>
      </rPr>
      <t>2</t>
    </r>
    <r>
      <rPr>
        <sz val="9"/>
        <color theme="1"/>
        <rFont val="微软雅黑"/>
        <family val="2"/>
        <charset val="134"/>
      </rPr>
      <t>月磷酸铁锂装车</t>
    </r>
  </si>
  <si>
    <r>
      <t>2025</t>
    </r>
    <r>
      <rPr>
        <sz val="9"/>
        <color theme="1"/>
        <rFont val="微软雅黑"/>
        <family val="2"/>
        <charset val="134"/>
      </rPr>
      <t>年</t>
    </r>
    <r>
      <rPr>
        <sz val="9"/>
        <color theme="1"/>
        <rFont val="Arial"/>
        <family val="2"/>
      </rPr>
      <t>2</t>
    </r>
    <r>
      <rPr>
        <sz val="9"/>
        <color theme="1"/>
        <rFont val="微软雅黑"/>
        <family val="2"/>
        <charset val="134"/>
      </rPr>
      <t>月三元装车</t>
    </r>
  </si>
  <si>
    <r>
      <rPr>
        <sz val="9"/>
        <color rgb="FF000000"/>
        <rFont val="微软雅黑"/>
        <family val="2"/>
        <charset val="134"/>
      </rPr>
      <t>同比</t>
    </r>
  </si>
  <si>
    <r>
      <rPr>
        <sz val="9"/>
        <color rgb="FF000000"/>
        <rFont val="微软雅黑"/>
        <family val="2"/>
        <charset val="134"/>
      </rPr>
      <t>环比</t>
    </r>
  </si>
  <si>
    <r>
      <rPr>
        <sz val="9"/>
        <color theme="1"/>
        <rFont val="微软雅黑"/>
        <family val="2"/>
        <charset val="134"/>
      </rPr>
      <t>同比</t>
    </r>
  </si>
  <si>
    <r>
      <rPr>
        <sz val="9"/>
        <color rgb="FF000000"/>
        <rFont val="微软雅黑"/>
        <family val="2"/>
        <charset val="134"/>
      </rPr>
      <t>力神</t>
    </r>
  </si>
  <si>
    <r>
      <rPr>
        <sz val="9"/>
        <color rgb="FF000000"/>
        <rFont val="微软雅黑"/>
        <family val="2"/>
        <charset val="134"/>
      </rPr>
      <t>三一红象</t>
    </r>
  </si>
  <si>
    <r>
      <t>2025</t>
    </r>
    <r>
      <rPr>
        <sz val="9"/>
        <color theme="1"/>
        <rFont val="微软雅黑"/>
        <family val="2"/>
        <charset val="134"/>
      </rPr>
      <t>年</t>
    </r>
    <r>
      <rPr>
        <sz val="9"/>
        <color theme="1"/>
        <rFont val="Arial"/>
        <family val="2"/>
      </rPr>
      <t>1</t>
    </r>
    <r>
      <rPr>
        <sz val="9"/>
        <color theme="1"/>
        <rFont val="微软雅黑"/>
        <family val="2"/>
        <charset val="134"/>
      </rPr>
      <t>月数据</t>
    </r>
  </si>
  <si>
    <r>
      <t>2025</t>
    </r>
    <r>
      <rPr>
        <sz val="9"/>
        <color theme="1"/>
        <rFont val="微软雅黑"/>
        <family val="2"/>
        <charset val="134"/>
      </rPr>
      <t>年</t>
    </r>
    <r>
      <rPr>
        <sz val="9"/>
        <color theme="1"/>
        <rFont val="Arial"/>
        <family val="2"/>
      </rPr>
      <t>1</t>
    </r>
    <r>
      <rPr>
        <sz val="9"/>
        <color theme="1"/>
        <rFont val="微软雅黑"/>
        <family val="2"/>
        <charset val="134"/>
      </rPr>
      <t>月磷酸铁锂装车</t>
    </r>
  </si>
  <si>
    <r>
      <t>2025</t>
    </r>
    <r>
      <rPr>
        <sz val="9"/>
        <color theme="1"/>
        <rFont val="微软雅黑"/>
        <family val="2"/>
        <charset val="134"/>
      </rPr>
      <t>年</t>
    </r>
    <r>
      <rPr>
        <sz val="9"/>
        <color theme="1"/>
        <rFont val="Arial"/>
        <family val="2"/>
      </rPr>
      <t>1</t>
    </r>
    <r>
      <rPr>
        <sz val="9"/>
        <color theme="1"/>
        <rFont val="微软雅黑"/>
        <family val="2"/>
        <charset val="134"/>
      </rPr>
      <t>月三元装车</t>
    </r>
  </si>
  <si>
    <r>
      <rPr>
        <sz val="9"/>
        <color theme="1"/>
        <rFont val="微软雅黑"/>
        <family val="2"/>
        <charset val="134"/>
      </rPr>
      <t>正力新能源</t>
    </r>
  </si>
  <si>
    <r>
      <t>2024</t>
    </r>
    <r>
      <rPr>
        <sz val="9"/>
        <color theme="1"/>
        <rFont val="微软雅黑"/>
        <family val="2"/>
        <charset val="134"/>
      </rPr>
      <t>年</t>
    </r>
    <r>
      <rPr>
        <sz val="9"/>
        <color theme="1"/>
        <rFont val="Arial"/>
        <family val="2"/>
      </rPr>
      <t>12</t>
    </r>
    <r>
      <rPr>
        <sz val="9"/>
        <color theme="1"/>
        <rFont val="微软雅黑"/>
        <family val="2"/>
        <charset val="134"/>
      </rPr>
      <t>月数据</t>
    </r>
  </si>
  <si>
    <r>
      <t>2024</t>
    </r>
    <r>
      <rPr>
        <sz val="9"/>
        <color theme="1"/>
        <rFont val="微软雅黑"/>
        <family val="2"/>
        <charset val="134"/>
      </rPr>
      <t>年</t>
    </r>
    <r>
      <rPr>
        <sz val="9"/>
        <color theme="1"/>
        <rFont val="Arial"/>
        <family val="2"/>
      </rPr>
      <t>1-12</t>
    </r>
    <r>
      <rPr>
        <sz val="9"/>
        <color theme="1"/>
        <rFont val="微软雅黑"/>
        <family val="2"/>
        <charset val="134"/>
      </rPr>
      <t>月数据</t>
    </r>
  </si>
  <si>
    <r>
      <t>2024</t>
    </r>
    <r>
      <rPr>
        <sz val="9"/>
        <color theme="1"/>
        <rFont val="微软雅黑"/>
        <family val="2"/>
        <charset val="134"/>
      </rPr>
      <t>年</t>
    </r>
    <r>
      <rPr>
        <sz val="9"/>
        <color theme="1"/>
        <rFont val="Arial"/>
        <family val="2"/>
      </rPr>
      <t>12</t>
    </r>
    <r>
      <rPr>
        <sz val="9"/>
        <color theme="1"/>
        <rFont val="微软雅黑"/>
        <family val="2"/>
        <charset val="134"/>
      </rPr>
      <t>月磷酸铁锂装车</t>
    </r>
  </si>
  <si>
    <r>
      <t>2024</t>
    </r>
    <r>
      <rPr>
        <sz val="9"/>
        <color theme="1"/>
        <rFont val="微软雅黑"/>
        <family val="2"/>
        <charset val="134"/>
      </rPr>
      <t>年</t>
    </r>
    <r>
      <rPr>
        <sz val="9"/>
        <color theme="1"/>
        <rFont val="Arial"/>
        <family val="2"/>
      </rPr>
      <t>12</t>
    </r>
    <r>
      <rPr>
        <sz val="9"/>
        <color theme="1"/>
        <rFont val="微软雅黑"/>
        <family val="2"/>
        <charset val="134"/>
      </rPr>
      <t>月三元装车</t>
    </r>
  </si>
  <si>
    <r>
      <rPr>
        <sz val="9"/>
        <color rgb="FF000000"/>
        <rFont val="微软雅黑"/>
        <family val="2"/>
        <charset val="134"/>
      </rPr>
      <t>装车量</t>
    </r>
    <r>
      <rPr>
        <sz val="9"/>
        <color rgb="FF000000"/>
        <rFont val="Arial"/>
        <family val="2"/>
      </rPr>
      <t>(GWh)</t>
    </r>
  </si>
  <si>
    <r>
      <rPr>
        <sz val="9"/>
        <color rgb="FF000000"/>
        <rFont val="微软雅黑"/>
        <family val="2"/>
        <charset val="134"/>
      </rPr>
      <t xml:space="preserve">装车量
</t>
    </r>
    <r>
      <rPr>
        <sz val="9"/>
        <color rgb="FF000000"/>
        <rFont val="Arial"/>
        <family val="2"/>
      </rPr>
      <t>(GWh)</t>
    </r>
  </si>
  <si>
    <r>
      <rPr>
        <sz val="9"/>
        <color rgb="FF000000"/>
        <rFont val="微软雅黑"/>
        <family val="2"/>
        <charset val="134"/>
      </rPr>
      <t>装车量</t>
    </r>
    <r>
      <rPr>
        <sz val="12"/>
        <color rgb="FF000000"/>
        <rFont val="Arial"/>
        <family val="2"/>
      </rPr>
      <t>(GWh)</t>
    </r>
  </si>
  <si>
    <r>
      <rPr>
        <sz val="9"/>
        <color rgb="FF000000"/>
        <rFont val="微软雅黑"/>
        <family val="2"/>
        <charset val="134"/>
      </rPr>
      <t>爱尔集新能源</t>
    </r>
  </si>
  <si>
    <r>
      <rPr>
        <sz val="9"/>
        <color theme="1"/>
        <rFont val="微软雅黑"/>
        <family val="2"/>
        <charset val="134"/>
      </rPr>
      <t>北电爱斯特</t>
    </r>
  </si>
  <si>
    <r>
      <rPr>
        <sz val="9"/>
        <color theme="1"/>
        <rFont val="微软雅黑"/>
        <family val="2"/>
        <charset val="134"/>
      </rPr>
      <t>泰星能源</t>
    </r>
  </si>
  <si>
    <r>
      <t>2024</t>
    </r>
    <r>
      <rPr>
        <sz val="9"/>
        <color theme="1"/>
        <rFont val="微软雅黑"/>
        <family val="2"/>
        <charset val="134"/>
      </rPr>
      <t>年</t>
    </r>
    <r>
      <rPr>
        <sz val="9"/>
        <color theme="1"/>
        <rFont val="Arial"/>
        <family val="2"/>
      </rPr>
      <t>11</t>
    </r>
    <r>
      <rPr>
        <sz val="9"/>
        <color theme="1"/>
        <rFont val="微软雅黑"/>
        <family val="2"/>
        <charset val="134"/>
      </rPr>
      <t>月数据</t>
    </r>
  </si>
  <si>
    <r>
      <t>2024</t>
    </r>
    <r>
      <rPr>
        <sz val="9"/>
        <color theme="1"/>
        <rFont val="微软雅黑"/>
        <family val="2"/>
        <charset val="134"/>
      </rPr>
      <t>年</t>
    </r>
    <r>
      <rPr>
        <sz val="9"/>
        <color theme="1"/>
        <rFont val="Arial"/>
        <family val="2"/>
      </rPr>
      <t>1-11</t>
    </r>
    <r>
      <rPr>
        <sz val="9"/>
        <color theme="1"/>
        <rFont val="微软雅黑"/>
        <family val="2"/>
        <charset val="134"/>
      </rPr>
      <t>月数据</t>
    </r>
  </si>
  <si>
    <r>
      <t>2024</t>
    </r>
    <r>
      <rPr>
        <sz val="9"/>
        <color theme="1"/>
        <rFont val="微软雅黑"/>
        <family val="2"/>
        <charset val="134"/>
      </rPr>
      <t>年</t>
    </r>
    <r>
      <rPr>
        <sz val="9"/>
        <color theme="1"/>
        <rFont val="Arial"/>
        <family val="2"/>
      </rPr>
      <t>11</t>
    </r>
    <r>
      <rPr>
        <sz val="9"/>
        <color theme="1"/>
        <rFont val="微软雅黑"/>
        <family val="2"/>
        <charset val="134"/>
      </rPr>
      <t>月磷酸铁锂装车</t>
    </r>
  </si>
  <si>
    <r>
      <t>2024</t>
    </r>
    <r>
      <rPr>
        <sz val="9"/>
        <color theme="1"/>
        <rFont val="微软雅黑"/>
        <family val="2"/>
        <charset val="134"/>
      </rPr>
      <t>年</t>
    </r>
    <r>
      <rPr>
        <sz val="9"/>
        <color theme="1"/>
        <rFont val="Arial"/>
        <family val="2"/>
      </rPr>
      <t>11</t>
    </r>
    <r>
      <rPr>
        <sz val="9"/>
        <color theme="1"/>
        <rFont val="微软雅黑"/>
        <family val="2"/>
        <charset val="134"/>
      </rPr>
      <t>月三元装车</t>
    </r>
  </si>
  <si>
    <r>
      <t>2024</t>
    </r>
    <r>
      <rPr>
        <sz val="9"/>
        <color theme="1"/>
        <rFont val="微软雅黑"/>
        <family val="2"/>
        <charset val="134"/>
      </rPr>
      <t>年</t>
    </r>
    <r>
      <rPr>
        <sz val="9"/>
        <color theme="1"/>
        <rFont val="Arial"/>
        <family val="2"/>
      </rPr>
      <t>10</t>
    </r>
    <r>
      <rPr>
        <sz val="9"/>
        <color theme="1"/>
        <rFont val="微软雅黑"/>
        <family val="2"/>
        <charset val="134"/>
      </rPr>
      <t>月数据</t>
    </r>
  </si>
  <si>
    <r>
      <t>2024</t>
    </r>
    <r>
      <rPr>
        <sz val="9"/>
        <color theme="1"/>
        <rFont val="微软雅黑"/>
        <family val="2"/>
        <charset val="134"/>
      </rPr>
      <t>年</t>
    </r>
    <r>
      <rPr>
        <sz val="9"/>
        <color theme="1"/>
        <rFont val="Arial"/>
        <family val="2"/>
      </rPr>
      <t>1-10</t>
    </r>
    <r>
      <rPr>
        <sz val="9"/>
        <color theme="1"/>
        <rFont val="微软雅黑"/>
        <family val="2"/>
        <charset val="134"/>
      </rPr>
      <t>月数据</t>
    </r>
  </si>
  <si>
    <r>
      <t>2024</t>
    </r>
    <r>
      <rPr>
        <sz val="9"/>
        <color theme="1"/>
        <rFont val="微软雅黑"/>
        <family val="2"/>
        <charset val="134"/>
      </rPr>
      <t>年</t>
    </r>
    <r>
      <rPr>
        <sz val="9"/>
        <color theme="1"/>
        <rFont val="Arial"/>
        <family val="2"/>
      </rPr>
      <t>10</t>
    </r>
    <r>
      <rPr>
        <sz val="9"/>
        <color theme="1"/>
        <rFont val="微软雅黑"/>
        <family val="2"/>
        <charset val="134"/>
      </rPr>
      <t>月磷酸铁锂装车</t>
    </r>
  </si>
  <si>
    <r>
      <t>2024</t>
    </r>
    <r>
      <rPr>
        <sz val="9"/>
        <color theme="1"/>
        <rFont val="微软雅黑"/>
        <family val="2"/>
        <charset val="134"/>
      </rPr>
      <t>年</t>
    </r>
    <r>
      <rPr>
        <sz val="9"/>
        <color theme="1"/>
        <rFont val="Arial"/>
        <family val="2"/>
      </rPr>
      <t>10</t>
    </r>
    <r>
      <rPr>
        <sz val="9"/>
        <color theme="1"/>
        <rFont val="微软雅黑"/>
        <family val="2"/>
        <charset val="134"/>
      </rPr>
      <t>月三元装车</t>
    </r>
  </si>
  <si>
    <r>
      <t>2024</t>
    </r>
    <r>
      <rPr>
        <sz val="9"/>
        <color theme="1"/>
        <rFont val="微软雅黑"/>
        <family val="2"/>
        <charset val="134"/>
      </rPr>
      <t>年</t>
    </r>
    <r>
      <rPr>
        <sz val="9"/>
        <color theme="1"/>
        <rFont val="Arial"/>
        <family val="2"/>
      </rPr>
      <t>9</t>
    </r>
    <r>
      <rPr>
        <sz val="9"/>
        <color theme="1"/>
        <rFont val="微软雅黑"/>
        <family val="2"/>
        <charset val="134"/>
      </rPr>
      <t>月数据</t>
    </r>
  </si>
  <si>
    <r>
      <t>2024</t>
    </r>
    <r>
      <rPr>
        <sz val="9"/>
        <color theme="1"/>
        <rFont val="微软雅黑"/>
        <family val="2"/>
        <charset val="134"/>
      </rPr>
      <t>年</t>
    </r>
    <r>
      <rPr>
        <sz val="9"/>
        <color theme="1"/>
        <rFont val="Arial"/>
        <family val="2"/>
      </rPr>
      <t>1-9</t>
    </r>
    <r>
      <rPr>
        <sz val="9"/>
        <color theme="1"/>
        <rFont val="微软雅黑"/>
        <family val="2"/>
        <charset val="134"/>
      </rPr>
      <t>月数据</t>
    </r>
  </si>
  <si>
    <r>
      <t>2024</t>
    </r>
    <r>
      <rPr>
        <sz val="9"/>
        <color theme="1"/>
        <rFont val="微软雅黑"/>
        <family val="2"/>
        <charset val="134"/>
      </rPr>
      <t>年</t>
    </r>
    <r>
      <rPr>
        <sz val="9"/>
        <color theme="1"/>
        <rFont val="Arial"/>
        <family val="2"/>
      </rPr>
      <t>9</t>
    </r>
    <r>
      <rPr>
        <sz val="9"/>
        <color theme="1"/>
        <rFont val="微软雅黑"/>
        <family val="2"/>
        <charset val="134"/>
      </rPr>
      <t>月磷酸铁锂装车</t>
    </r>
  </si>
  <si>
    <r>
      <t>2024</t>
    </r>
    <r>
      <rPr>
        <sz val="9"/>
        <color theme="1"/>
        <rFont val="微软雅黑"/>
        <family val="2"/>
        <charset val="134"/>
      </rPr>
      <t>年</t>
    </r>
    <r>
      <rPr>
        <sz val="9"/>
        <color theme="1"/>
        <rFont val="Arial"/>
        <family val="2"/>
      </rPr>
      <t>9</t>
    </r>
    <r>
      <rPr>
        <sz val="9"/>
        <color theme="1"/>
        <rFont val="微软雅黑"/>
        <family val="2"/>
        <charset val="134"/>
      </rPr>
      <t>月三元装车</t>
    </r>
  </si>
  <si>
    <r>
      <t>2024</t>
    </r>
    <r>
      <rPr>
        <sz val="9"/>
        <color theme="1"/>
        <rFont val="微软雅黑"/>
        <family val="2"/>
        <charset val="134"/>
      </rPr>
      <t>年</t>
    </r>
    <r>
      <rPr>
        <sz val="9"/>
        <color theme="1"/>
        <rFont val="Arial"/>
        <family val="2"/>
      </rPr>
      <t>8</t>
    </r>
    <r>
      <rPr>
        <sz val="9"/>
        <color theme="1"/>
        <rFont val="微软雅黑"/>
        <family val="2"/>
        <charset val="134"/>
      </rPr>
      <t>月数据</t>
    </r>
  </si>
  <si>
    <r>
      <t>2024</t>
    </r>
    <r>
      <rPr>
        <sz val="9"/>
        <color theme="1"/>
        <rFont val="微软雅黑"/>
        <family val="2"/>
        <charset val="134"/>
      </rPr>
      <t>年</t>
    </r>
    <r>
      <rPr>
        <sz val="9"/>
        <color theme="1"/>
        <rFont val="Arial"/>
        <family val="2"/>
      </rPr>
      <t>1-8</t>
    </r>
    <r>
      <rPr>
        <sz val="9"/>
        <color theme="1"/>
        <rFont val="微软雅黑"/>
        <family val="2"/>
        <charset val="134"/>
      </rPr>
      <t>月数据</t>
    </r>
  </si>
  <si>
    <r>
      <t>2024</t>
    </r>
    <r>
      <rPr>
        <sz val="9"/>
        <color theme="1"/>
        <rFont val="微软雅黑"/>
        <family val="2"/>
        <charset val="134"/>
      </rPr>
      <t>年</t>
    </r>
    <r>
      <rPr>
        <sz val="9"/>
        <color theme="1"/>
        <rFont val="Arial"/>
        <family val="2"/>
      </rPr>
      <t>8</t>
    </r>
    <r>
      <rPr>
        <sz val="9"/>
        <color theme="1"/>
        <rFont val="微软雅黑"/>
        <family val="2"/>
        <charset val="134"/>
      </rPr>
      <t>月磷酸铁锂装车</t>
    </r>
  </si>
  <si>
    <r>
      <t>2024</t>
    </r>
    <r>
      <rPr>
        <sz val="9"/>
        <color theme="1"/>
        <rFont val="微软雅黑"/>
        <family val="2"/>
        <charset val="134"/>
      </rPr>
      <t>年</t>
    </r>
    <r>
      <rPr>
        <sz val="9"/>
        <color theme="1"/>
        <rFont val="Arial"/>
        <family val="2"/>
      </rPr>
      <t>8</t>
    </r>
    <r>
      <rPr>
        <sz val="9"/>
        <color theme="1"/>
        <rFont val="微软雅黑"/>
        <family val="2"/>
        <charset val="134"/>
      </rPr>
      <t>月三元装车</t>
    </r>
  </si>
  <si>
    <r>
      <rPr>
        <sz val="9"/>
        <color theme="1"/>
        <rFont val="微软雅黑"/>
        <family val="2"/>
        <charset val="134"/>
      </rPr>
      <t>荣威盟固利</t>
    </r>
  </si>
  <si>
    <r>
      <t>2024</t>
    </r>
    <r>
      <rPr>
        <sz val="9"/>
        <color theme="1"/>
        <rFont val="微软雅黑"/>
        <family val="2"/>
        <charset val="134"/>
      </rPr>
      <t>年</t>
    </r>
    <r>
      <rPr>
        <sz val="9"/>
        <color theme="1"/>
        <rFont val="Arial"/>
        <family val="2"/>
      </rPr>
      <t>7</t>
    </r>
    <r>
      <rPr>
        <sz val="9"/>
        <color theme="1"/>
        <rFont val="微软雅黑"/>
        <family val="2"/>
        <charset val="134"/>
      </rPr>
      <t>月数据</t>
    </r>
  </si>
  <si>
    <r>
      <t>2024</t>
    </r>
    <r>
      <rPr>
        <sz val="9"/>
        <color theme="1"/>
        <rFont val="微软雅黑"/>
        <family val="2"/>
        <charset val="134"/>
      </rPr>
      <t>年</t>
    </r>
    <r>
      <rPr>
        <sz val="9"/>
        <color theme="1"/>
        <rFont val="Arial"/>
        <family val="2"/>
      </rPr>
      <t>1-7</t>
    </r>
    <r>
      <rPr>
        <sz val="9"/>
        <color theme="1"/>
        <rFont val="微软雅黑"/>
        <family val="2"/>
        <charset val="134"/>
      </rPr>
      <t>月数据</t>
    </r>
  </si>
  <si>
    <r>
      <t>2024</t>
    </r>
    <r>
      <rPr>
        <sz val="9"/>
        <color theme="1"/>
        <rFont val="微软雅黑"/>
        <family val="2"/>
        <charset val="134"/>
      </rPr>
      <t>年</t>
    </r>
    <r>
      <rPr>
        <sz val="9"/>
        <color theme="1"/>
        <rFont val="Arial"/>
        <family val="2"/>
      </rPr>
      <t>7</t>
    </r>
    <r>
      <rPr>
        <sz val="9"/>
        <color theme="1"/>
        <rFont val="微软雅黑"/>
        <family val="2"/>
        <charset val="134"/>
      </rPr>
      <t>月磷酸铁锂装车</t>
    </r>
  </si>
  <si>
    <r>
      <t>2024</t>
    </r>
    <r>
      <rPr>
        <sz val="9"/>
        <color theme="1"/>
        <rFont val="微软雅黑"/>
        <family val="2"/>
        <charset val="134"/>
      </rPr>
      <t>年</t>
    </r>
    <r>
      <rPr>
        <sz val="9"/>
        <color theme="1"/>
        <rFont val="Arial"/>
        <family val="2"/>
      </rPr>
      <t>7</t>
    </r>
    <r>
      <rPr>
        <sz val="9"/>
        <color theme="1"/>
        <rFont val="微软雅黑"/>
        <family val="2"/>
        <charset val="134"/>
      </rPr>
      <t>月三元装车</t>
    </r>
  </si>
  <si>
    <r>
      <t>2024</t>
    </r>
    <r>
      <rPr>
        <sz val="9"/>
        <color theme="1"/>
        <rFont val="微软雅黑"/>
        <family val="2"/>
        <charset val="134"/>
      </rPr>
      <t>年</t>
    </r>
    <r>
      <rPr>
        <sz val="9"/>
        <color theme="1"/>
        <rFont val="Arial"/>
        <family val="2"/>
      </rPr>
      <t>6</t>
    </r>
    <r>
      <rPr>
        <sz val="9"/>
        <color theme="1"/>
        <rFont val="微软雅黑"/>
        <family val="2"/>
        <charset val="134"/>
      </rPr>
      <t>月数据</t>
    </r>
  </si>
  <si>
    <r>
      <t>2024</t>
    </r>
    <r>
      <rPr>
        <sz val="9"/>
        <color theme="1"/>
        <rFont val="微软雅黑"/>
        <family val="2"/>
        <charset val="134"/>
      </rPr>
      <t>年</t>
    </r>
    <r>
      <rPr>
        <sz val="9"/>
        <color theme="1"/>
        <rFont val="Arial"/>
        <family val="2"/>
      </rPr>
      <t>1-6</t>
    </r>
    <r>
      <rPr>
        <sz val="9"/>
        <color theme="1"/>
        <rFont val="微软雅黑"/>
        <family val="2"/>
        <charset val="134"/>
      </rPr>
      <t>月数据</t>
    </r>
  </si>
  <si>
    <r>
      <t>2024</t>
    </r>
    <r>
      <rPr>
        <sz val="9"/>
        <color theme="1"/>
        <rFont val="微软雅黑"/>
        <family val="2"/>
        <charset val="134"/>
      </rPr>
      <t>年</t>
    </r>
    <r>
      <rPr>
        <sz val="9"/>
        <color theme="1"/>
        <rFont val="Arial"/>
        <family val="2"/>
      </rPr>
      <t>6</t>
    </r>
    <r>
      <rPr>
        <sz val="9"/>
        <color theme="1"/>
        <rFont val="微软雅黑"/>
        <family val="2"/>
        <charset val="134"/>
      </rPr>
      <t>月磷酸铁锂装车</t>
    </r>
  </si>
  <si>
    <r>
      <t>2024</t>
    </r>
    <r>
      <rPr>
        <sz val="9"/>
        <color theme="1"/>
        <rFont val="微软雅黑"/>
        <family val="2"/>
        <charset val="134"/>
      </rPr>
      <t>年</t>
    </r>
    <r>
      <rPr>
        <sz val="9"/>
        <color theme="1"/>
        <rFont val="Arial"/>
        <family val="2"/>
      </rPr>
      <t>6</t>
    </r>
    <r>
      <rPr>
        <sz val="9"/>
        <color theme="1"/>
        <rFont val="微软雅黑"/>
        <family val="2"/>
        <charset val="134"/>
      </rPr>
      <t>月三元装车</t>
    </r>
  </si>
  <si>
    <r>
      <t>2024</t>
    </r>
    <r>
      <rPr>
        <sz val="9"/>
        <color theme="1"/>
        <rFont val="微软雅黑"/>
        <family val="2"/>
        <charset val="134"/>
      </rPr>
      <t>年</t>
    </r>
    <r>
      <rPr>
        <sz val="9"/>
        <color theme="1"/>
        <rFont val="Arial"/>
        <family val="2"/>
      </rPr>
      <t>5</t>
    </r>
    <r>
      <rPr>
        <sz val="9"/>
        <color theme="1"/>
        <rFont val="微软雅黑"/>
        <family val="2"/>
        <charset val="134"/>
      </rPr>
      <t>月数据</t>
    </r>
  </si>
  <si>
    <r>
      <t>2024</t>
    </r>
    <r>
      <rPr>
        <sz val="9"/>
        <color theme="1"/>
        <rFont val="微软雅黑"/>
        <family val="2"/>
        <charset val="134"/>
      </rPr>
      <t>年</t>
    </r>
    <r>
      <rPr>
        <sz val="9"/>
        <color theme="1"/>
        <rFont val="Arial"/>
        <family val="2"/>
      </rPr>
      <t>1-5</t>
    </r>
    <r>
      <rPr>
        <sz val="9"/>
        <color theme="1"/>
        <rFont val="微软雅黑"/>
        <family val="2"/>
        <charset val="134"/>
      </rPr>
      <t>月数据</t>
    </r>
  </si>
  <si>
    <r>
      <t>2024</t>
    </r>
    <r>
      <rPr>
        <sz val="9"/>
        <color theme="1"/>
        <rFont val="微软雅黑"/>
        <family val="2"/>
        <charset val="134"/>
      </rPr>
      <t>年</t>
    </r>
    <r>
      <rPr>
        <sz val="9"/>
        <color theme="1"/>
        <rFont val="Arial"/>
        <family val="2"/>
      </rPr>
      <t>5</t>
    </r>
    <r>
      <rPr>
        <sz val="9"/>
        <color theme="1"/>
        <rFont val="微软雅黑"/>
        <family val="2"/>
        <charset val="134"/>
      </rPr>
      <t>月磷酸铁锂装车</t>
    </r>
  </si>
  <si>
    <r>
      <t>2024</t>
    </r>
    <r>
      <rPr>
        <sz val="9"/>
        <color theme="1"/>
        <rFont val="微软雅黑"/>
        <family val="2"/>
        <charset val="134"/>
      </rPr>
      <t>年</t>
    </r>
    <r>
      <rPr>
        <sz val="9"/>
        <color theme="1"/>
        <rFont val="Arial"/>
        <family val="2"/>
      </rPr>
      <t>5</t>
    </r>
    <r>
      <rPr>
        <sz val="9"/>
        <color theme="1"/>
        <rFont val="微软雅黑"/>
        <family val="2"/>
        <charset val="134"/>
      </rPr>
      <t>月三元装车</t>
    </r>
  </si>
  <si>
    <r>
      <rPr>
        <sz val="9"/>
        <color rgb="FF000000"/>
        <rFont val="微软雅黑"/>
        <family val="2"/>
        <charset val="134"/>
      </rPr>
      <t>远景动力</t>
    </r>
  </si>
  <si>
    <r>
      <t>2024</t>
    </r>
    <r>
      <rPr>
        <sz val="9"/>
        <color theme="1"/>
        <rFont val="微软雅黑"/>
        <family val="2"/>
        <charset val="134"/>
      </rPr>
      <t>年</t>
    </r>
    <r>
      <rPr>
        <sz val="9"/>
        <color theme="1"/>
        <rFont val="Arial"/>
        <family val="2"/>
      </rPr>
      <t>4</t>
    </r>
    <r>
      <rPr>
        <sz val="9"/>
        <color theme="1"/>
        <rFont val="微软雅黑"/>
        <family val="2"/>
        <charset val="134"/>
      </rPr>
      <t>月数据</t>
    </r>
  </si>
  <si>
    <r>
      <t>2024</t>
    </r>
    <r>
      <rPr>
        <sz val="9"/>
        <color theme="1"/>
        <rFont val="微软雅黑"/>
        <family val="2"/>
        <charset val="134"/>
      </rPr>
      <t>年</t>
    </r>
    <r>
      <rPr>
        <sz val="9"/>
        <color theme="1"/>
        <rFont val="Arial"/>
        <family val="2"/>
      </rPr>
      <t>1-4</t>
    </r>
    <r>
      <rPr>
        <sz val="9"/>
        <color theme="1"/>
        <rFont val="微软雅黑"/>
        <family val="2"/>
        <charset val="134"/>
      </rPr>
      <t>月数据</t>
    </r>
  </si>
  <si>
    <r>
      <t>2024</t>
    </r>
    <r>
      <rPr>
        <sz val="9"/>
        <color theme="1"/>
        <rFont val="微软雅黑"/>
        <family val="2"/>
        <charset val="134"/>
      </rPr>
      <t>年</t>
    </r>
    <r>
      <rPr>
        <sz val="9"/>
        <color theme="1"/>
        <rFont val="Arial"/>
        <family val="2"/>
      </rPr>
      <t>4</t>
    </r>
    <r>
      <rPr>
        <sz val="9"/>
        <color theme="1"/>
        <rFont val="微软雅黑"/>
        <family val="2"/>
        <charset val="134"/>
      </rPr>
      <t>月磷酸铁锂装车</t>
    </r>
  </si>
  <si>
    <r>
      <t>2024</t>
    </r>
    <r>
      <rPr>
        <sz val="9"/>
        <color theme="1"/>
        <rFont val="微软雅黑"/>
        <family val="2"/>
        <charset val="134"/>
      </rPr>
      <t>年</t>
    </r>
    <r>
      <rPr>
        <sz val="9"/>
        <color theme="1"/>
        <rFont val="Arial"/>
        <family val="2"/>
      </rPr>
      <t>4</t>
    </r>
    <r>
      <rPr>
        <sz val="9"/>
        <color theme="1"/>
        <rFont val="微软雅黑"/>
        <family val="2"/>
        <charset val="134"/>
      </rPr>
      <t>月三元装车</t>
    </r>
  </si>
  <si>
    <r>
      <rPr>
        <sz val="9"/>
        <color rgb="FF000000"/>
        <rFont val="微软雅黑"/>
        <family val="2"/>
        <charset val="134"/>
      </rPr>
      <t>河南锂动</t>
    </r>
  </si>
  <si>
    <r>
      <t>2024</t>
    </r>
    <r>
      <rPr>
        <sz val="9"/>
        <color theme="1"/>
        <rFont val="微软雅黑"/>
        <family val="2"/>
        <charset val="134"/>
      </rPr>
      <t>年</t>
    </r>
    <r>
      <rPr>
        <sz val="9"/>
        <color theme="1"/>
        <rFont val="Arial"/>
        <family val="2"/>
      </rPr>
      <t>3</t>
    </r>
    <r>
      <rPr>
        <sz val="9"/>
        <color theme="1"/>
        <rFont val="微软雅黑"/>
        <family val="2"/>
        <charset val="134"/>
      </rPr>
      <t>月数据</t>
    </r>
  </si>
  <si>
    <r>
      <t>2024</t>
    </r>
    <r>
      <rPr>
        <sz val="9"/>
        <color theme="1"/>
        <rFont val="微软雅黑"/>
        <family val="2"/>
        <charset val="134"/>
      </rPr>
      <t>年</t>
    </r>
    <r>
      <rPr>
        <sz val="9"/>
        <color theme="1"/>
        <rFont val="Arial"/>
        <family val="2"/>
      </rPr>
      <t>1-3</t>
    </r>
    <r>
      <rPr>
        <sz val="9"/>
        <color theme="1"/>
        <rFont val="微软雅黑"/>
        <family val="2"/>
        <charset val="134"/>
      </rPr>
      <t>月数据</t>
    </r>
  </si>
  <si>
    <r>
      <t>2024</t>
    </r>
    <r>
      <rPr>
        <sz val="9"/>
        <color theme="1"/>
        <rFont val="微软雅黑"/>
        <family val="2"/>
        <charset val="134"/>
      </rPr>
      <t>年</t>
    </r>
    <r>
      <rPr>
        <sz val="9"/>
        <color theme="1"/>
        <rFont val="Arial"/>
        <family val="2"/>
      </rPr>
      <t>3</t>
    </r>
    <r>
      <rPr>
        <sz val="9"/>
        <color theme="1"/>
        <rFont val="微软雅黑"/>
        <family val="2"/>
        <charset val="134"/>
      </rPr>
      <t>月磷酸铁锂装车</t>
    </r>
  </si>
  <si>
    <r>
      <t>2024</t>
    </r>
    <r>
      <rPr>
        <sz val="9"/>
        <color theme="1"/>
        <rFont val="微软雅黑"/>
        <family val="2"/>
        <charset val="134"/>
      </rPr>
      <t>年</t>
    </r>
    <r>
      <rPr>
        <sz val="9"/>
        <color theme="1"/>
        <rFont val="Arial"/>
        <family val="2"/>
      </rPr>
      <t>3</t>
    </r>
    <r>
      <rPr>
        <sz val="9"/>
        <color theme="1"/>
        <rFont val="微软雅黑"/>
        <family val="2"/>
        <charset val="134"/>
      </rPr>
      <t>月三元装车</t>
    </r>
  </si>
  <si>
    <r>
      <t>2024</t>
    </r>
    <r>
      <rPr>
        <sz val="9"/>
        <color theme="1"/>
        <rFont val="微软雅黑"/>
        <family val="2"/>
        <charset val="134"/>
      </rPr>
      <t>年</t>
    </r>
    <r>
      <rPr>
        <sz val="9"/>
        <color theme="1"/>
        <rFont val="Arial"/>
        <family val="2"/>
      </rPr>
      <t>2</t>
    </r>
    <r>
      <rPr>
        <sz val="9"/>
        <color theme="1"/>
        <rFont val="微软雅黑"/>
        <family val="2"/>
        <charset val="134"/>
      </rPr>
      <t>月数据</t>
    </r>
  </si>
  <si>
    <r>
      <t>2024</t>
    </r>
    <r>
      <rPr>
        <sz val="9"/>
        <color theme="1"/>
        <rFont val="微软雅黑"/>
        <family val="2"/>
        <charset val="134"/>
      </rPr>
      <t>年</t>
    </r>
    <r>
      <rPr>
        <sz val="9"/>
        <color theme="1"/>
        <rFont val="Arial"/>
        <family val="2"/>
      </rPr>
      <t>1-2</t>
    </r>
    <r>
      <rPr>
        <sz val="9"/>
        <color theme="1"/>
        <rFont val="微软雅黑"/>
        <family val="2"/>
        <charset val="134"/>
      </rPr>
      <t>月数据</t>
    </r>
  </si>
  <si>
    <r>
      <t>2024</t>
    </r>
    <r>
      <rPr>
        <sz val="9"/>
        <color theme="1"/>
        <rFont val="微软雅黑"/>
        <family val="2"/>
        <charset val="134"/>
      </rPr>
      <t>年</t>
    </r>
    <r>
      <rPr>
        <sz val="9"/>
        <color theme="1"/>
        <rFont val="Arial"/>
        <family val="2"/>
      </rPr>
      <t>2</t>
    </r>
    <r>
      <rPr>
        <sz val="9"/>
        <color theme="1"/>
        <rFont val="微软雅黑"/>
        <family val="2"/>
        <charset val="134"/>
      </rPr>
      <t>月磷酸铁锂装车</t>
    </r>
  </si>
  <si>
    <r>
      <t>2024</t>
    </r>
    <r>
      <rPr>
        <sz val="9"/>
        <color theme="1"/>
        <rFont val="微软雅黑"/>
        <family val="2"/>
        <charset val="134"/>
      </rPr>
      <t>年</t>
    </r>
    <r>
      <rPr>
        <sz val="9"/>
        <color theme="1"/>
        <rFont val="Arial"/>
        <family val="2"/>
      </rPr>
      <t>2</t>
    </r>
    <r>
      <rPr>
        <sz val="9"/>
        <color theme="1"/>
        <rFont val="微软雅黑"/>
        <family val="2"/>
        <charset val="134"/>
      </rPr>
      <t>月三元装车</t>
    </r>
  </si>
  <si>
    <r>
      <rPr>
        <sz val="9"/>
        <color rgb="FF000000"/>
        <rFont val="微软雅黑"/>
        <family val="2"/>
        <charset val="134"/>
      </rPr>
      <t>鹏辉能源</t>
    </r>
  </si>
  <si>
    <r>
      <rPr>
        <sz val="9"/>
        <color rgb="FF000000"/>
        <rFont val="微软雅黑"/>
        <family val="2"/>
        <charset val="134"/>
      </rPr>
      <t>中化锂电</t>
    </r>
  </si>
  <si>
    <r>
      <rPr>
        <sz val="9"/>
        <color theme="1"/>
        <rFont val="微软雅黑"/>
        <family val="2"/>
        <charset val="134"/>
      </rPr>
      <t>星恒电源</t>
    </r>
  </si>
  <si>
    <r>
      <t>2024</t>
    </r>
    <r>
      <rPr>
        <sz val="9"/>
        <color theme="1"/>
        <rFont val="微软雅黑"/>
        <family val="2"/>
        <charset val="134"/>
      </rPr>
      <t>年</t>
    </r>
    <r>
      <rPr>
        <sz val="9"/>
        <color theme="1"/>
        <rFont val="Arial"/>
        <family val="2"/>
      </rPr>
      <t>1</t>
    </r>
    <r>
      <rPr>
        <sz val="9"/>
        <color theme="1"/>
        <rFont val="微软雅黑"/>
        <family val="2"/>
        <charset val="134"/>
      </rPr>
      <t>月数据</t>
    </r>
  </si>
  <si>
    <r>
      <t>2024</t>
    </r>
    <r>
      <rPr>
        <sz val="9"/>
        <color theme="1"/>
        <rFont val="微软雅黑"/>
        <family val="2"/>
        <charset val="134"/>
      </rPr>
      <t>年</t>
    </r>
    <r>
      <rPr>
        <sz val="9"/>
        <color theme="1"/>
        <rFont val="Arial"/>
        <family val="2"/>
      </rPr>
      <t>1</t>
    </r>
    <r>
      <rPr>
        <sz val="9"/>
        <color theme="1"/>
        <rFont val="微软雅黑"/>
        <family val="2"/>
        <charset val="134"/>
      </rPr>
      <t>月磷酸铁锂装车</t>
    </r>
  </si>
  <si>
    <r>
      <t>2024</t>
    </r>
    <r>
      <rPr>
        <sz val="9"/>
        <color theme="1"/>
        <rFont val="微软雅黑"/>
        <family val="2"/>
        <charset val="134"/>
      </rPr>
      <t>年</t>
    </r>
    <r>
      <rPr>
        <sz val="9"/>
        <color theme="1"/>
        <rFont val="Arial"/>
        <family val="2"/>
      </rPr>
      <t>1</t>
    </r>
    <r>
      <rPr>
        <sz val="9"/>
        <color theme="1"/>
        <rFont val="微软雅黑"/>
        <family val="2"/>
        <charset val="134"/>
      </rPr>
      <t>月三元装车</t>
    </r>
  </si>
  <si>
    <r>
      <rPr>
        <sz val="9"/>
        <color theme="1"/>
        <rFont val="微软雅黑"/>
        <family val="2"/>
        <charset val="134"/>
      </rPr>
      <t>卫蓝科技</t>
    </r>
  </si>
  <si>
    <r>
      <rPr>
        <sz val="9"/>
        <color rgb="FF000000"/>
        <rFont val="微软雅黑"/>
        <family val="2"/>
        <charset val="134"/>
      </rPr>
      <t>卫蓝科技</t>
    </r>
  </si>
  <si>
    <r>
      <rPr>
        <sz val="9"/>
        <color rgb="FF000000"/>
        <rFont val="微软雅黑"/>
        <family val="2"/>
        <charset val="134"/>
      </rPr>
      <t>领湃新能源</t>
    </r>
  </si>
  <si>
    <r>
      <t>2023</t>
    </r>
    <r>
      <rPr>
        <sz val="9"/>
        <color theme="1"/>
        <rFont val="微软雅黑"/>
        <family val="2"/>
        <charset val="134"/>
      </rPr>
      <t>年</t>
    </r>
    <r>
      <rPr>
        <sz val="9"/>
        <color theme="1"/>
        <rFont val="Arial"/>
        <family val="2"/>
      </rPr>
      <t>12</t>
    </r>
    <r>
      <rPr>
        <sz val="9"/>
        <color theme="1"/>
        <rFont val="微软雅黑"/>
        <family val="2"/>
        <charset val="134"/>
      </rPr>
      <t>月数据</t>
    </r>
  </si>
  <si>
    <r>
      <t>2023</t>
    </r>
    <r>
      <rPr>
        <sz val="9"/>
        <color theme="1"/>
        <rFont val="微软雅黑"/>
        <family val="2"/>
        <charset val="134"/>
      </rPr>
      <t>年</t>
    </r>
    <r>
      <rPr>
        <sz val="9"/>
        <color theme="1"/>
        <rFont val="Arial"/>
        <family val="2"/>
      </rPr>
      <t>1-12</t>
    </r>
    <r>
      <rPr>
        <sz val="9"/>
        <color theme="1"/>
        <rFont val="微软雅黑"/>
        <family val="2"/>
        <charset val="134"/>
      </rPr>
      <t>月数据</t>
    </r>
  </si>
  <si>
    <r>
      <t>2023</t>
    </r>
    <r>
      <rPr>
        <sz val="9"/>
        <color theme="1"/>
        <rFont val="微软雅黑"/>
        <family val="2"/>
        <charset val="134"/>
      </rPr>
      <t>年</t>
    </r>
    <r>
      <rPr>
        <sz val="9"/>
        <color theme="1"/>
        <rFont val="Arial"/>
        <family val="2"/>
      </rPr>
      <t>1-12</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</si>
  <si>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1-12</t>
    </r>
    <r>
      <rPr>
        <sz val="9"/>
        <color theme="1"/>
        <rFont val="微软雅黑"/>
        <family val="2"/>
        <charset val="134"/>
      </rPr>
      <t>月三元累计装车</t>
    </r>
  </si>
  <si>
    <r>
      <rPr>
        <sz val="9"/>
        <color theme="1"/>
        <rFont val="微软雅黑"/>
        <family val="2"/>
        <charset val="134"/>
      </rPr>
      <t>卫蓝新能源</t>
    </r>
  </si>
  <si>
    <r>
      <rPr>
        <sz val="9"/>
        <color rgb="FF000000"/>
        <rFont val="微软雅黑"/>
        <family val="2"/>
        <charset val="134"/>
      </rPr>
      <t>卫蓝新能源</t>
    </r>
  </si>
  <si>
    <r>
      <t>2023</t>
    </r>
    <r>
      <rPr>
        <sz val="9"/>
        <color theme="1"/>
        <rFont val="微软雅黑"/>
        <family val="2"/>
        <charset val="134"/>
      </rPr>
      <t>年</t>
    </r>
    <r>
      <rPr>
        <sz val="9"/>
        <color theme="1"/>
        <rFont val="Arial"/>
        <family val="2"/>
      </rPr>
      <t>11</t>
    </r>
    <r>
      <rPr>
        <sz val="9"/>
        <color theme="1"/>
        <rFont val="微软雅黑"/>
        <family val="2"/>
        <charset val="134"/>
      </rPr>
      <t>月数据</t>
    </r>
  </si>
  <si>
    <r>
      <t>2023</t>
    </r>
    <r>
      <rPr>
        <sz val="9"/>
        <color theme="1"/>
        <rFont val="微软雅黑"/>
        <family val="2"/>
        <charset val="134"/>
      </rPr>
      <t>年</t>
    </r>
    <r>
      <rPr>
        <sz val="9"/>
        <color theme="1"/>
        <rFont val="Arial"/>
        <family val="2"/>
      </rPr>
      <t>1-11</t>
    </r>
    <r>
      <rPr>
        <sz val="9"/>
        <color theme="1"/>
        <rFont val="微软雅黑"/>
        <family val="2"/>
        <charset val="134"/>
      </rPr>
      <t>月数据</t>
    </r>
  </si>
  <si>
    <r>
      <t>2023</t>
    </r>
    <r>
      <rPr>
        <sz val="9"/>
        <color theme="1"/>
        <rFont val="微软雅黑"/>
        <family val="2"/>
        <charset val="134"/>
      </rPr>
      <t>年</t>
    </r>
    <r>
      <rPr>
        <sz val="9"/>
        <color theme="1"/>
        <rFont val="Arial"/>
        <family val="2"/>
      </rPr>
      <t>1-11</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</si>
  <si>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1-11</t>
    </r>
    <r>
      <rPr>
        <sz val="9"/>
        <color theme="1"/>
        <rFont val="微软雅黑"/>
        <family val="2"/>
        <charset val="134"/>
      </rPr>
      <t>月三元累计装车</t>
    </r>
  </si>
  <si>
    <r>
      <rPr>
        <sz val="9"/>
        <color theme="1"/>
        <rFont val="微软雅黑"/>
        <family val="2"/>
        <charset val="134"/>
      </rPr>
      <t>天劲新能源</t>
    </r>
  </si>
  <si>
    <r>
      <t>2023</t>
    </r>
    <r>
      <rPr>
        <sz val="9"/>
        <color theme="1"/>
        <rFont val="微软雅黑"/>
        <family val="2"/>
        <charset val="134"/>
      </rPr>
      <t>年</t>
    </r>
    <r>
      <rPr>
        <sz val="9"/>
        <color theme="1"/>
        <rFont val="Arial"/>
        <family val="2"/>
      </rPr>
      <t>10</t>
    </r>
    <r>
      <rPr>
        <sz val="9"/>
        <color theme="1"/>
        <rFont val="微软雅黑"/>
        <family val="2"/>
        <charset val="134"/>
      </rPr>
      <t>月数据</t>
    </r>
  </si>
  <si>
    <r>
      <t>2023</t>
    </r>
    <r>
      <rPr>
        <sz val="9"/>
        <color theme="1"/>
        <rFont val="微软雅黑"/>
        <family val="2"/>
        <charset val="134"/>
      </rPr>
      <t>年</t>
    </r>
    <r>
      <rPr>
        <sz val="9"/>
        <color theme="1"/>
        <rFont val="Arial"/>
        <family val="2"/>
      </rPr>
      <t>1-10</t>
    </r>
    <r>
      <rPr>
        <sz val="9"/>
        <color theme="1"/>
        <rFont val="微软雅黑"/>
        <family val="2"/>
        <charset val="134"/>
      </rPr>
      <t>月数据</t>
    </r>
  </si>
  <si>
    <r>
      <t>2023</t>
    </r>
    <r>
      <rPr>
        <sz val="9"/>
        <color theme="1"/>
        <rFont val="微软雅黑"/>
        <family val="2"/>
        <charset val="134"/>
      </rPr>
      <t>年</t>
    </r>
    <r>
      <rPr>
        <sz val="9"/>
        <color theme="1"/>
        <rFont val="Arial"/>
        <family val="2"/>
      </rPr>
      <t>1-10</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</si>
  <si>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1-10</t>
    </r>
    <r>
      <rPr>
        <sz val="9"/>
        <color theme="1"/>
        <rFont val="微软雅黑"/>
        <family val="2"/>
        <charset val="134"/>
      </rPr>
      <t>月三元累计装车</t>
    </r>
  </si>
  <si>
    <r>
      <rPr>
        <sz val="9"/>
        <color rgb="FF000000"/>
        <rFont val="微软雅黑"/>
        <family val="2"/>
        <charset val="134"/>
      </rPr>
      <t>捷威动力</t>
    </r>
  </si>
  <si>
    <r>
      <t>2023</t>
    </r>
    <r>
      <rPr>
        <sz val="9"/>
        <color theme="1"/>
        <rFont val="微软雅黑"/>
        <family val="2"/>
        <charset val="134"/>
      </rPr>
      <t>年</t>
    </r>
    <r>
      <rPr>
        <sz val="9"/>
        <color theme="1"/>
        <rFont val="Arial"/>
        <family val="2"/>
      </rPr>
      <t>9</t>
    </r>
    <r>
      <rPr>
        <sz val="9"/>
        <color theme="1"/>
        <rFont val="微软雅黑"/>
        <family val="2"/>
        <charset val="134"/>
      </rPr>
      <t>月数据</t>
    </r>
  </si>
  <si>
    <r>
      <t>2023</t>
    </r>
    <r>
      <rPr>
        <sz val="9"/>
        <color theme="1"/>
        <rFont val="微软雅黑"/>
        <family val="2"/>
        <charset val="134"/>
      </rPr>
      <t>年</t>
    </r>
    <r>
      <rPr>
        <sz val="9"/>
        <color theme="1"/>
        <rFont val="Arial"/>
        <family val="2"/>
      </rPr>
      <t>1-9</t>
    </r>
    <r>
      <rPr>
        <sz val="9"/>
        <color theme="1"/>
        <rFont val="微软雅黑"/>
        <family val="2"/>
        <charset val="134"/>
      </rPr>
      <t>月数据</t>
    </r>
  </si>
  <si>
    <r>
      <t>2023</t>
    </r>
    <r>
      <rPr>
        <sz val="9"/>
        <color theme="1"/>
        <rFont val="微软雅黑"/>
        <family val="2"/>
        <charset val="134"/>
      </rPr>
      <t>年</t>
    </r>
    <r>
      <rPr>
        <sz val="9"/>
        <color theme="1"/>
        <rFont val="Arial"/>
        <family val="2"/>
      </rPr>
      <t>1-9</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</si>
  <si>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1-9</t>
    </r>
    <r>
      <rPr>
        <sz val="9"/>
        <color theme="1"/>
        <rFont val="微软雅黑"/>
        <family val="2"/>
        <charset val="134"/>
      </rPr>
      <t>月三元累计装车</t>
    </r>
  </si>
  <si>
    <r>
      <rPr>
        <sz val="9"/>
        <color rgb="FF000000"/>
        <rFont val="微软雅黑"/>
        <family val="2"/>
        <charset val="134"/>
      </rPr>
      <t>河南鲤动</t>
    </r>
  </si>
  <si>
    <r>
      <t>2023</t>
    </r>
    <r>
      <rPr>
        <sz val="9"/>
        <color theme="1"/>
        <rFont val="微软雅黑"/>
        <family val="2"/>
        <charset val="134"/>
      </rPr>
      <t>年</t>
    </r>
    <r>
      <rPr>
        <sz val="9"/>
        <color theme="1"/>
        <rFont val="Arial"/>
        <family val="2"/>
      </rPr>
      <t>8</t>
    </r>
    <r>
      <rPr>
        <sz val="9"/>
        <color theme="1"/>
        <rFont val="微软雅黑"/>
        <family val="2"/>
        <charset val="134"/>
      </rPr>
      <t>月数据</t>
    </r>
  </si>
  <si>
    <r>
      <t>2023</t>
    </r>
    <r>
      <rPr>
        <sz val="9"/>
        <color theme="1"/>
        <rFont val="微软雅黑"/>
        <family val="2"/>
        <charset val="134"/>
      </rPr>
      <t>年</t>
    </r>
    <r>
      <rPr>
        <sz val="9"/>
        <color theme="1"/>
        <rFont val="Arial"/>
        <family val="2"/>
      </rPr>
      <t>1-8</t>
    </r>
    <r>
      <rPr>
        <sz val="9"/>
        <color theme="1"/>
        <rFont val="微软雅黑"/>
        <family val="2"/>
        <charset val="134"/>
      </rPr>
      <t>月数据</t>
    </r>
  </si>
  <si>
    <r>
      <t>2023</t>
    </r>
    <r>
      <rPr>
        <sz val="9"/>
        <color theme="1"/>
        <rFont val="微软雅黑"/>
        <family val="2"/>
        <charset val="134"/>
      </rPr>
      <t>年</t>
    </r>
    <r>
      <rPr>
        <sz val="9"/>
        <color theme="1"/>
        <rFont val="Arial"/>
        <family val="2"/>
      </rPr>
      <t>1-8</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</si>
  <si>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1-8</t>
    </r>
    <r>
      <rPr>
        <sz val="9"/>
        <color theme="1"/>
        <rFont val="微软雅黑"/>
        <family val="2"/>
        <charset val="134"/>
      </rPr>
      <t>月三元累计装车</t>
    </r>
  </si>
  <si>
    <r>
      <t>2023</t>
    </r>
    <r>
      <rPr>
        <sz val="9"/>
        <color theme="1"/>
        <rFont val="微软雅黑"/>
        <family val="2"/>
        <charset val="134"/>
      </rPr>
      <t>年</t>
    </r>
    <r>
      <rPr>
        <sz val="9"/>
        <color theme="1"/>
        <rFont val="Arial"/>
        <family val="2"/>
      </rPr>
      <t>7</t>
    </r>
    <r>
      <rPr>
        <sz val="9"/>
        <color theme="1"/>
        <rFont val="微软雅黑"/>
        <family val="2"/>
        <charset val="134"/>
      </rPr>
      <t>月数据</t>
    </r>
  </si>
  <si>
    <r>
      <t>2023</t>
    </r>
    <r>
      <rPr>
        <sz val="9"/>
        <color theme="1"/>
        <rFont val="微软雅黑"/>
        <family val="2"/>
        <charset val="134"/>
      </rPr>
      <t>年</t>
    </r>
    <r>
      <rPr>
        <sz val="9"/>
        <color theme="1"/>
        <rFont val="Arial"/>
        <family val="2"/>
      </rPr>
      <t>1-7</t>
    </r>
    <r>
      <rPr>
        <sz val="9"/>
        <color theme="1"/>
        <rFont val="微软雅黑"/>
        <family val="2"/>
        <charset val="134"/>
      </rPr>
      <t>月数据</t>
    </r>
  </si>
  <si>
    <r>
      <t>2023</t>
    </r>
    <r>
      <rPr>
        <sz val="9"/>
        <color theme="1"/>
        <rFont val="微软雅黑"/>
        <family val="2"/>
        <charset val="134"/>
      </rPr>
      <t>年</t>
    </r>
    <r>
      <rPr>
        <sz val="9"/>
        <color theme="1"/>
        <rFont val="Arial"/>
        <family val="2"/>
      </rPr>
      <t>1-7</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</si>
  <si>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1-7</t>
    </r>
    <r>
      <rPr>
        <sz val="9"/>
        <color theme="1"/>
        <rFont val="微软雅黑"/>
        <family val="2"/>
        <charset val="134"/>
      </rPr>
      <t>月三元累计装车</t>
    </r>
  </si>
  <si>
    <r>
      <t>2023</t>
    </r>
    <r>
      <rPr>
        <sz val="9"/>
        <color theme="1"/>
        <rFont val="微软雅黑"/>
        <family val="2"/>
        <charset val="134"/>
      </rPr>
      <t>年</t>
    </r>
    <r>
      <rPr>
        <sz val="9"/>
        <color theme="1"/>
        <rFont val="Arial"/>
        <family val="2"/>
      </rPr>
      <t>6</t>
    </r>
    <r>
      <rPr>
        <sz val="9"/>
        <color theme="1"/>
        <rFont val="微软雅黑"/>
        <family val="2"/>
        <charset val="134"/>
      </rPr>
      <t>月数据</t>
    </r>
  </si>
  <si>
    <r>
      <t>2023</t>
    </r>
    <r>
      <rPr>
        <sz val="9"/>
        <color theme="1"/>
        <rFont val="微软雅黑"/>
        <family val="2"/>
        <charset val="134"/>
      </rPr>
      <t>年</t>
    </r>
    <r>
      <rPr>
        <sz val="9"/>
        <color theme="1"/>
        <rFont val="Arial"/>
        <family val="2"/>
      </rPr>
      <t>1-6</t>
    </r>
    <r>
      <rPr>
        <sz val="9"/>
        <color theme="1"/>
        <rFont val="微软雅黑"/>
        <family val="2"/>
        <charset val="134"/>
      </rPr>
      <t>月数据</t>
    </r>
  </si>
  <si>
    <r>
      <t>2023</t>
    </r>
    <r>
      <rPr>
        <sz val="9"/>
        <color theme="1"/>
        <rFont val="微软雅黑"/>
        <family val="2"/>
        <charset val="134"/>
      </rPr>
      <t>年</t>
    </r>
    <r>
      <rPr>
        <sz val="9"/>
        <color theme="1"/>
        <rFont val="Arial"/>
        <family val="2"/>
      </rPr>
      <t>1-6</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</si>
  <si>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1-6</t>
    </r>
    <r>
      <rPr>
        <sz val="9"/>
        <color theme="1"/>
        <rFont val="微软雅黑"/>
        <family val="2"/>
        <charset val="134"/>
      </rPr>
      <t>月三元累计装车</t>
    </r>
  </si>
  <si>
    <r>
      <t>2023</t>
    </r>
    <r>
      <rPr>
        <sz val="9"/>
        <color theme="1"/>
        <rFont val="微软雅黑"/>
        <family val="2"/>
        <charset val="134"/>
      </rPr>
      <t>年</t>
    </r>
    <r>
      <rPr>
        <sz val="9"/>
        <color theme="1"/>
        <rFont val="Arial"/>
        <family val="2"/>
      </rPr>
      <t>5</t>
    </r>
    <r>
      <rPr>
        <sz val="9"/>
        <color theme="1"/>
        <rFont val="微软雅黑"/>
        <family val="2"/>
        <charset val="134"/>
      </rPr>
      <t>月数据</t>
    </r>
  </si>
  <si>
    <r>
      <t>2023</t>
    </r>
    <r>
      <rPr>
        <sz val="9"/>
        <color theme="1"/>
        <rFont val="微软雅黑"/>
        <family val="2"/>
        <charset val="134"/>
      </rPr>
      <t>年</t>
    </r>
    <r>
      <rPr>
        <sz val="9"/>
        <color theme="1"/>
        <rFont val="Arial"/>
        <family val="2"/>
      </rPr>
      <t>1-5</t>
    </r>
    <r>
      <rPr>
        <sz val="9"/>
        <color theme="1"/>
        <rFont val="微软雅黑"/>
        <family val="2"/>
        <charset val="134"/>
      </rPr>
      <t>月数据</t>
    </r>
  </si>
  <si>
    <r>
      <t>2023</t>
    </r>
    <r>
      <rPr>
        <sz val="9"/>
        <color theme="1"/>
        <rFont val="微软雅黑"/>
        <family val="2"/>
        <charset val="134"/>
      </rPr>
      <t>年</t>
    </r>
    <r>
      <rPr>
        <sz val="9"/>
        <color theme="1"/>
        <rFont val="Arial"/>
        <family val="2"/>
      </rPr>
      <t>1-5</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</si>
  <si>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1-5</t>
    </r>
    <r>
      <rPr>
        <sz val="9"/>
        <color theme="1"/>
        <rFont val="微软雅黑"/>
        <family val="2"/>
        <charset val="134"/>
      </rPr>
      <t>月三元累计装车</t>
    </r>
  </si>
  <si>
    <r>
      <t>2023</t>
    </r>
    <r>
      <rPr>
        <sz val="9"/>
        <color theme="1"/>
        <rFont val="微软雅黑"/>
        <family val="2"/>
        <charset val="134"/>
      </rPr>
      <t>年</t>
    </r>
    <r>
      <rPr>
        <sz val="9"/>
        <color theme="1"/>
        <rFont val="Arial"/>
        <family val="2"/>
      </rPr>
      <t>4</t>
    </r>
    <r>
      <rPr>
        <sz val="9"/>
        <color theme="1"/>
        <rFont val="微软雅黑"/>
        <family val="2"/>
        <charset val="134"/>
      </rPr>
      <t>月数据</t>
    </r>
  </si>
  <si>
    <r>
      <t>2023</t>
    </r>
    <r>
      <rPr>
        <sz val="9"/>
        <color theme="1"/>
        <rFont val="微软雅黑"/>
        <family val="2"/>
        <charset val="134"/>
      </rPr>
      <t>年</t>
    </r>
    <r>
      <rPr>
        <sz val="9"/>
        <color theme="1"/>
        <rFont val="Arial"/>
        <family val="2"/>
      </rPr>
      <t>1-4</t>
    </r>
    <r>
      <rPr>
        <sz val="9"/>
        <color theme="1"/>
        <rFont val="微软雅黑"/>
        <family val="2"/>
        <charset val="134"/>
      </rPr>
      <t>月数据</t>
    </r>
  </si>
  <si>
    <r>
      <t>2023</t>
    </r>
    <r>
      <rPr>
        <sz val="9"/>
        <color theme="1"/>
        <rFont val="微软雅黑"/>
        <family val="2"/>
        <charset val="134"/>
      </rPr>
      <t>年</t>
    </r>
    <r>
      <rPr>
        <sz val="9"/>
        <color theme="1"/>
        <rFont val="Arial"/>
        <family val="2"/>
      </rPr>
      <t>1-4</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</si>
  <si>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1-4</t>
    </r>
    <r>
      <rPr>
        <sz val="9"/>
        <color theme="1"/>
        <rFont val="微软雅黑"/>
        <family val="2"/>
        <charset val="134"/>
      </rPr>
      <t>月三元累计装车</t>
    </r>
  </si>
  <si>
    <r>
      <t>2023</t>
    </r>
    <r>
      <rPr>
        <sz val="9"/>
        <color theme="1"/>
        <rFont val="微软雅黑"/>
        <family val="2"/>
        <charset val="134"/>
      </rPr>
      <t>年</t>
    </r>
    <r>
      <rPr>
        <sz val="9"/>
        <color theme="1"/>
        <rFont val="Arial"/>
        <family val="2"/>
      </rPr>
      <t>3</t>
    </r>
    <r>
      <rPr>
        <sz val="9"/>
        <color theme="1"/>
        <rFont val="微软雅黑"/>
        <family val="2"/>
        <charset val="134"/>
      </rPr>
      <t>月数据</t>
    </r>
  </si>
  <si>
    <r>
      <t>2023</t>
    </r>
    <r>
      <rPr>
        <sz val="9"/>
        <color theme="1"/>
        <rFont val="微软雅黑"/>
        <family val="2"/>
        <charset val="134"/>
      </rPr>
      <t>年</t>
    </r>
    <r>
      <rPr>
        <sz val="9"/>
        <color theme="1"/>
        <rFont val="Arial"/>
        <family val="2"/>
      </rPr>
      <t>1-3</t>
    </r>
    <r>
      <rPr>
        <sz val="9"/>
        <color theme="1"/>
        <rFont val="微软雅黑"/>
        <family val="2"/>
        <charset val="134"/>
      </rPr>
      <t>月数据</t>
    </r>
  </si>
  <si>
    <r>
      <t>2023</t>
    </r>
    <r>
      <rPr>
        <sz val="9"/>
        <color theme="1"/>
        <rFont val="微软雅黑"/>
        <family val="2"/>
        <charset val="134"/>
      </rPr>
      <t>年</t>
    </r>
    <r>
      <rPr>
        <sz val="9"/>
        <color theme="1"/>
        <rFont val="Arial"/>
        <family val="2"/>
      </rPr>
      <t>1-3</t>
    </r>
    <r>
      <rPr>
        <sz val="9"/>
        <color theme="1"/>
        <rFont val="微软雅黑"/>
        <family val="2"/>
        <charset val="134"/>
      </rPr>
      <t>月磷酸铁锂累计装车</t>
    </r>
  </si>
  <si>
    <r>
      <t>2023</t>
    </r>
    <r>
      <rPr>
        <sz val="9"/>
        <color theme="1"/>
        <rFont val="微软雅黑"/>
        <family val="2"/>
        <charset val="134"/>
      </rPr>
      <t>年</t>
    </r>
    <r>
      <rPr>
        <sz val="9"/>
        <color theme="1"/>
        <rFont val="Arial"/>
        <family val="2"/>
      </rPr>
      <t>1-3</t>
    </r>
    <r>
      <rPr>
        <sz val="9"/>
        <color theme="1"/>
        <rFont val="微软雅黑"/>
        <family val="2"/>
        <charset val="134"/>
      </rPr>
      <t>月三元累计装车</t>
    </r>
  </si>
  <si>
    <r>
      <rPr>
        <sz val="9"/>
        <color rgb="FF000000"/>
        <rFont val="微软雅黑"/>
        <family val="2"/>
        <charset val="134"/>
      </rPr>
      <t>天劲新能源</t>
    </r>
  </si>
  <si>
    <r>
      <t>2023</t>
    </r>
    <r>
      <rPr>
        <sz val="9"/>
        <color theme="1"/>
        <rFont val="微软雅黑"/>
        <family val="2"/>
        <charset val="134"/>
      </rPr>
      <t>年</t>
    </r>
    <r>
      <rPr>
        <sz val="9"/>
        <color theme="1"/>
        <rFont val="Arial"/>
        <family val="2"/>
      </rPr>
      <t>2</t>
    </r>
    <r>
      <rPr>
        <sz val="9"/>
        <color theme="1"/>
        <rFont val="微软雅黑"/>
        <family val="2"/>
        <charset val="134"/>
      </rPr>
      <t>月数据</t>
    </r>
  </si>
  <si>
    <r>
      <t>2023</t>
    </r>
    <r>
      <rPr>
        <sz val="9"/>
        <color theme="1"/>
        <rFont val="微软雅黑"/>
        <family val="2"/>
        <charset val="134"/>
      </rPr>
      <t>年</t>
    </r>
    <r>
      <rPr>
        <sz val="9"/>
        <color theme="1"/>
        <rFont val="Arial"/>
        <family val="2"/>
      </rPr>
      <t>1-2</t>
    </r>
    <r>
      <rPr>
        <sz val="9"/>
        <color theme="1"/>
        <rFont val="微软雅黑"/>
        <family val="2"/>
        <charset val="134"/>
      </rPr>
      <t>月数据</t>
    </r>
  </si>
  <si>
    <r>
      <t>2023</t>
    </r>
    <r>
      <rPr>
        <sz val="9"/>
        <color theme="1"/>
        <rFont val="微软雅黑"/>
        <family val="2"/>
        <charset val="134"/>
      </rPr>
      <t>年</t>
    </r>
    <r>
      <rPr>
        <sz val="9"/>
        <color theme="1"/>
        <rFont val="Arial"/>
        <family val="2"/>
      </rPr>
      <t>1</t>
    </r>
    <r>
      <rPr>
        <sz val="9"/>
        <color theme="1"/>
        <rFont val="微软雅黑"/>
        <family val="2"/>
        <charset val="134"/>
      </rPr>
      <t>月数据</t>
    </r>
  </si>
  <si>
    <r>
      <t>2022</t>
    </r>
    <r>
      <rPr>
        <sz val="9"/>
        <color theme="1"/>
        <rFont val="微软雅黑"/>
        <family val="2"/>
        <charset val="134"/>
      </rPr>
      <t>年</t>
    </r>
    <r>
      <rPr>
        <sz val="9"/>
        <color theme="1"/>
        <rFont val="Arial"/>
        <family val="2"/>
      </rPr>
      <t>12</t>
    </r>
    <r>
      <rPr>
        <sz val="9"/>
        <color theme="1"/>
        <rFont val="微软雅黑"/>
        <family val="2"/>
        <charset val="134"/>
      </rPr>
      <t>月数据</t>
    </r>
  </si>
  <si>
    <r>
      <t>2022</t>
    </r>
    <r>
      <rPr>
        <sz val="9"/>
        <color theme="1"/>
        <rFont val="微软雅黑"/>
        <family val="2"/>
        <charset val="134"/>
      </rPr>
      <t>年</t>
    </r>
    <r>
      <rPr>
        <sz val="9"/>
        <color theme="1"/>
        <rFont val="Arial"/>
        <family val="2"/>
      </rPr>
      <t>1-12</t>
    </r>
    <r>
      <rPr>
        <sz val="9"/>
        <color theme="1"/>
        <rFont val="微软雅黑"/>
        <family val="2"/>
        <charset val="134"/>
      </rPr>
      <t>月数据</t>
    </r>
  </si>
  <si>
    <r>
      <rPr>
        <sz val="9"/>
        <color rgb="FF000000"/>
        <rFont val="微软雅黑"/>
        <family val="2"/>
        <charset val="134"/>
      </rPr>
      <t>星恒电源</t>
    </r>
  </si>
  <si>
    <r>
      <t>2022</t>
    </r>
    <r>
      <rPr>
        <sz val="9"/>
        <color theme="1"/>
        <rFont val="微软雅黑"/>
        <family val="2"/>
        <charset val="134"/>
      </rPr>
      <t>年</t>
    </r>
    <r>
      <rPr>
        <sz val="9"/>
        <color theme="1"/>
        <rFont val="Arial"/>
        <family val="2"/>
      </rPr>
      <t>11</t>
    </r>
    <r>
      <rPr>
        <sz val="9"/>
        <color theme="1"/>
        <rFont val="微软雅黑"/>
        <family val="2"/>
        <charset val="134"/>
      </rPr>
      <t>月数据</t>
    </r>
  </si>
  <si>
    <r>
      <t>2022</t>
    </r>
    <r>
      <rPr>
        <sz val="9"/>
        <color theme="1"/>
        <rFont val="微软雅黑"/>
        <family val="2"/>
        <charset val="134"/>
      </rPr>
      <t>年</t>
    </r>
    <r>
      <rPr>
        <sz val="9"/>
        <color theme="1"/>
        <rFont val="Arial"/>
        <family val="2"/>
      </rPr>
      <t>1-11</t>
    </r>
    <r>
      <rPr>
        <sz val="9"/>
        <color theme="1"/>
        <rFont val="微软雅黑"/>
        <family val="2"/>
        <charset val="134"/>
      </rPr>
      <t>月数据</t>
    </r>
  </si>
  <si>
    <r>
      <rPr>
        <sz val="9"/>
        <color rgb="FF000000"/>
        <rFont val="微软雅黑"/>
        <family val="2"/>
        <charset val="134"/>
      </rPr>
      <t>瑞普兰钧</t>
    </r>
  </si>
  <si>
    <r>
      <rPr>
        <sz val="9"/>
        <color rgb="FF000000"/>
        <rFont val="微软雅黑"/>
        <family val="2"/>
        <charset val="134"/>
      </rPr>
      <t>正力新能</t>
    </r>
    <r>
      <rPr>
        <sz val="9"/>
        <color rgb="FF000000"/>
        <rFont val="Arial"/>
        <family val="2"/>
      </rPr>
      <t>(</t>
    </r>
    <r>
      <rPr>
        <sz val="9"/>
        <color rgb="FF000000"/>
        <rFont val="微软雅黑"/>
        <family val="2"/>
        <charset val="134"/>
      </rPr>
      <t>塔菲尔</t>
    </r>
    <r>
      <rPr>
        <sz val="9"/>
        <color rgb="FF000000"/>
        <rFont val="Arial"/>
        <family val="2"/>
      </rPr>
      <t>)</t>
    </r>
  </si>
  <si>
    <r>
      <rPr>
        <sz val="9"/>
        <color rgb="FF000000"/>
        <rFont val="微软雅黑"/>
        <family val="2"/>
        <charset val="134"/>
      </rPr>
      <t>盟固利</t>
    </r>
  </si>
  <si>
    <r>
      <t>2022</t>
    </r>
    <r>
      <rPr>
        <sz val="9"/>
        <color theme="1"/>
        <rFont val="微软雅黑"/>
        <family val="2"/>
        <charset val="134"/>
      </rPr>
      <t>年</t>
    </r>
    <r>
      <rPr>
        <sz val="9"/>
        <color theme="1"/>
        <rFont val="Arial"/>
        <family val="2"/>
      </rPr>
      <t>10</t>
    </r>
    <r>
      <rPr>
        <sz val="9"/>
        <color theme="1"/>
        <rFont val="微软雅黑"/>
        <family val="2"/>
        <charset val="134"/>
      </rPr>
      <t>月数据</t>
    </r>
  </si>
  <si>
    <r>
      <t>2022</t>
    </r>
    <r>
      <rPr>
        <sz val="9"/>
        <color theme="1"/>
        <rFont val="微软雅黑"/>
        <family val="2"/>
        <charset val="134"/>
      </rPr>
      <t>年</t>
    </r>
    <r>
      <rPr>
        <sz val="9"/>
        <color theme="1"/>
        <rFont val="Arial"/>
        <family val="2"/>
      </rPr>
      <t>1-10</t>
    </r>
    <r>
      <rPr>
        <sz val="9"/>
        <color theme="1"/>
        <rFont val="微软雅黑"/>
        <family val="2"/>
        <charset val="134"/>
      </rPr>
      <t>月数据</t>
    </r>
  </si>
  <si>
    <r>
      <rPr>
        <sz val="9"/>
        <color rgb="FF000000"/>
        <rFont val="微软雅黑"/>
        <family val="2"/>
        <charset val="134"/>
      </rPr>
      <t>华鼎国联</t>
    </r>
  </si>
  <si>
    <r>
      <rPr>
        <sz val="9"/>
        <color rgb="FF000000"/>
        <rFont val="微软雅黑"/>
        <family val="2"/>
        <charset val="134"/>
      </rPr>
      <t>塔菲尔</t>
    </r>
  </si>
  <si>
    <r>
      <t>2022</t>
    </r>
    <r>
      <rPr>
        <sz val="9"/>
        <color theme="1"/>
        <rFont val="微软雅黑"/>
        <family val="2"/>
        <charset val="134"/>
      </rPr>
      <t>年</t>
    </r>
    <r>
      <rPr>
        <sz val="9"/>
        <color theme="1"/>
        <rFont val="Arial"/>
        <family val="2"/>
      </rPr>
      <t>9</t>
    </r>
    <r>
      <rPr>
        <sz val="9"/>
        <color theme="1"/>
        <rFont val="微软雅黑"/>
        <family val="2"/>
        <charset val="134"/>
      </rPr>
      <t>月数据</t>
    </r>
  </si>
  <si>
    <r>
      <t>2022</t>
    </r>
    <r>
      <rPr>
        <sz val="9"/>
        <color theme="1"/>
        <rFont val="微软雅黑"/>
        <family val="2"/>
        <charset val="134"/>
      </rPr>
      <t>年</t>
    </r>
    <r>
      <rPr>
        <sz val="9"/>
        <color theme="1"/>
        <rFont val="Arial"/>
        <family val="2"/>
      </rPr>
      <t>1-9</t>
    </r>
    <r>
      <rPr>
        <sz val="9"/>
        <color theme="1"/>
        <rFont val="微软雅黑"/>
        <family val="2"/>
        <charset val="134"/>
      </rPr>
      <t>月数据</t>
    </r>
  </si>
  <si>
    <r>
      <t>2022</t>
    </r>
    <r>
      <rPr>
        <sz val="9"/>
        <color theme="1"/>
        <rFont val="微软雅黑"/>
        <family val="2"/>
        <charset val="134"/>
      </rPr>
      <t>年</t>
    </r>
    <r>
      <rPr>
        <sz val="9"/>
        <color theme="1"/>
        <rFont val="Arial"/>
        <family val="2"/>
      </rPr>
      <t>8</t>
    </r>
    <r>
      <rPr>
        <sz val="9"/>
        <color theme="1"/>
        <rFont val="微软雅黑"/>
        <family val="2"/>
        <charset val="134"/>
      </rPr>
      <t>月数据</t>
    </r>
  </si>
  <si>
    <r>
      <t>2022</t>
    </r>
    <r>
      <rPr>
        <sz val="9"/>
        <color theme="1"/>
        <rFont val="微软雅黑"/>
        <family val="2"/>
        <charset val="134"/>
      </rPr>
      <t>年</t>
    </r>
    <r>
      <rPr>
        <sz val="9"/>
        <color theme="1"/>
        <rFont val="Arial"/>
        <family val="2"/>
      </rPr>
      <t>1-8</t>
    </r>
    <r>
      <rPr>
        <sz val="9"/>
        <color theme="1"/>
        <rFont val="微软雅黑"/>
        <family val="2"/>
        <charset val="134"/>
      </rPr>
      <t>月数据</t>
    </r>
  </si>
  <si>
    <r>
      <t>2022</t>
    </r>
    <r>
      <rPr>
        <sz val="9"/>
        <color theme="1"/>
        <rFont val="微软雅黑"/>
        <family val="2"/>
        <charset val="134"/>
      </rPr>
      <t>年</t>
    </r>
    <r>
      <rPr>
        <sz val="9"/>
        <color theme="1"/>
        <rFont val="Arial"/>
        <family val="2"/>
      </rPr>
      <t>7</t>
    </r>
    <r>
      <rPr>
        <sz val="9"/>
        <color theme="1"/>
        <rFont val="微软雅黑"/>
        <family val="2"/>
        <charset val="134"/>
      </rPr>
      <t>月数据</t>
    </r>
  </si>
  <si>
    <r>
      <t>2022</t>
    </r>
    <r>
      <rPr>
        <sz val="9"/>
        <color theme="1"/>
        <rFont val="微软雅黑"/>
        <family val="2"/>
        <charset val="134"/>
      </rPr>
      <t>年</t>
    </r>
    <r>
      <rPr>
        <sz val="9"/>
        <color theme="1"/>
        <rFont val="Arial"/>
        <family val="2"/>
      </rPr>
      <t>1-7</t>
    </r>
    <r>
      <rPr>
        <sz val="9"/>
        <color theme="1"/>
        <rFont val="微软雅黑"/>
        <family val="2"/>
        <charset val="134"/>
      </rPr>
      <t>月数据</t>
    </r>
  </si>
  <si>
    <r>
      <rPr>
        <sz val="9"/>
        <color rgb="FF000000"/>
        <rFont val="微软雅黑"/>
        <family val="2"/>
        <charset val="134"/>
      </rPr>
      <t>装车量
（</t>
    </r>
    <r>
      <rPr>
        <sz val="9"/>
        <color rgb="FF000000"/>
        <rFont val="Arial"/>
        <family val="2"/>
      </rPr>
      <t>GWh)</t>
    </r>
  </si>
  <si>
    <r>
      <rPr>
        <sz val="9"/>
        <color theme="1"/>
        <rFont val="微软雅黑"/>
        <family val="2"/>
        <charset val="134"/>
      </rPr>
      <t>塔菲尔</t>
    </r>
  </si>
  <si>
    <r>
      <rPr>
        <sz val="9"/>
        <color theme="1"/>
        <rFont val="微软雅黑"/>
        <family val="2"/>
        <charset val="134"/>
      </rPr>
      <t>瑞浦能源</t>
    </r>
  </si>
  <si>
    <r>
      <t>2022</t>
    </r>
    <r>
      <rPr>
        <sz val="9"/>
        <color theme="1"/>
        <rFont val="微软雅黑"/>
        <family val="2"/>
        <charset val="134"/>
      </rPr>
      <t>年</t>
    </r>
    <r>
      <rPr>
        <sz val="9"/>
        <color theme="1"/>
        <rFont val="Arial"/>
        <family val="2"/>
      </rPr>
      <t>6</t>
    </r>
    <r>
      <rPr>
        <sz val="9"/>
        <color theme="1"/>
        <rFont val="微软雅黑"/>
        <family val="2"/>
        <charset val="134"/>
      </rPr>
      <t>月数据</t>
    </r>
  </si>
  <si>
    <r>
      <t>2022</t>
    </r>
    <r>
      <rPr>
        <sz val="9"/>
        <color theme="1"/>
        <rFont val="微软雅黑"/>
        <family val="2"/>
        <charset val="134"/>
      </rPr>
      <t>年</t>
    </r>
    <r>
      <rPr>
        <sz val="9"/>
        <color theme="1"/>
        <rFont val="Arial"/>
        <family val="2"/>
      </rPr>
      <t>1-6</t>
    </r>
    <r>
      <rPr>
        <sz val="9"/>
        <color theme="1"/>
        <rFont val="微软雅黑"/>
        <family val="2"/>
        <charset val="134"/>
      </rPr>
      <t>月数据</t>
    </r>
  </si>
  <si>
    <r>
      <rPr>
        <sz val="9"/>
        <color rgb="FF000000"/>
        <rFont val="微软雅黑"/>
        <family val="2"/>
        <charset val="134"/>
      </rPr>
      <t>瑞浦能源</t>
    </r>
  </si>
  <si>
    <r>
      <t>2022</t>
    </r>
    <r>
      <rPr>
        <sz val="9"/>
        <color theme="1"/>
        <rFont val="微软雅黑"/>
        <family val="2"/>
        <charset val="134"/>
      </rPr>
      <t>年</t>
    </r>
    <r>
      <rPr>
        <sz val="9"/>
        <color theme="1"/>
        <rFont val="Arial"/>
        <family val="2"/>
      </rPr>
      <t>5</t>
    </r>
    <r>
      <rPr>
        <sz val="9"/>
        <color theme="1"/>
        <rFont val="微软雅黑"/>
        <family val="2"/>
        <charset val="134"/>
      </rPr>
      <t>月数据</t>
    </r>
  </si>
  <si>
    <r>
      <t>2022</t>
    </r>
    <r>
      <rPr>
        <sz val="9"/>
        <color theme="1"/>
        <rFont val="微软雅黑"/>
        <family val="2"/>
        <charset val="134"/>
      </rPr>
      <t>年</t>
    </r>
    <r>
      <rPr>
        <sz val="9"/>
        <color theme="1"/>
        <rFont val="Arial"/>
        <family val="2"/>
      </rPr>
      <t>1-5</t>
    </r>
    <r>
      <rPr>
        <sz val="9"/>
        <color theme="1"/>
        <rFont val="微软雅黑"/>
        <family val="2"/>
        <charset val="134"/>
      </rPr>
      <t>月数据</t>
    </r>
  </si>
  <si>
    <r>
      <t>2022</t>
    </r>
    <r>
      <rPr>
        <sz val="9"/>
        <color theme="1"/>
        <rFont val="微软雅黑"/>
        <family val="2"/>
        <charset val="134"/>
      </rPr>
      <t>年</t>
    </r>
    <r>
      <rPr>
        <sz val="9"/>
        <color theme="1"/>
        <rFont val="Arial"/>
        <family val="2"/>
      </rPr>
      <t>4</t>
    </r>
    <r>
      <rPr>
        <sz val="9"/>
        <color theme="1"/>
        <rFont val="微软雅黑"/>
        <family val="2"/>
        <charset val="134"/>
      </rPr>
      <t>月数据</t>
    </r>
  </si>
  <si>
    <r>
      <t>2022</t>
    </r>
    <r>
      <rPr>
        <sz val="9"/>
        <color theme="1"/>
        <rFont val="微软雅黑"/>
        <family val="2"/>
        <charset val="134"/>
      </rPr>
      <t>年</t>
    </r>
    <r>
      <rPr>
        <sz val="9"/>
        <color theme="1"/>
        <rFont val="Arial"/>
        <family val="2"/>
      </rPr>
      <t>1-4</t>
    </r>
    <r>
      <rPr>
        <sz val="9"/>
        <color theme="1"/>
        <rFont val="微软雅黑"/>
        <family val="2"/>
        <charset val="134"/>
      </rPr>
      <t>月数据</t>
    </r>
  </si>
  <si>
    <r>
      <rPr>
        <sz val="9"/>
        <color rgb="FF000000"/>
        <rFont val="微软雅黑"/>
        <family val="2"/>
        <charset val="134"/>
      </rPr>
      <t>三星</t>
    </r>
  </si>
  <si>
    <r>
      <t>2022</t>
    </r>
    <r>
      <rPr>
        <sz val="9"/>
        <color theme="1"/>
        <rFont val="微软雅黑"/>
        <family val="2"/>
        <charset val="134"/>
      </rPr>
      <t>年</t>
    </r>
    <r>
      <rPr>
        <sz val="9"/>
        <color theme="1"/>
        <rFont val="Arial"/>
        <family val="2"/>
      </rPr>
      <t>3</t>
    </r>
    <r>
      <rPr>
        <sz val="9"/>
        <color theme="1"/>
        <rFont val="微软雅黑"/>
        <family val="2"/>
        <charset val="134"/>
      </rPr>
      <t>月数据</t>
    </r>
  </si>
  <si>
    <r>
      <t>2022</t>
    </r>
    <r>
      <rPr>
        <sz val="9"/>
        <color theme="1"/>
        <rFont val="微软雅黑"/>
        <family val="2"/>
        <charset val="134"/>
      </rPr>
      <t>年</t>
    </r>
    <r>
      <rPr>
        <sz val="9"/>
        <color theme="1"/>
        <rFont val="Arial"/>
        <family val="2"/>
      </rPr>
      <t>1-3</t>
    </r>
    <r>
      <rPr>
        <sz val="9"/>
        <color theme="1"/>
        <rFont val="微软雅黑"/>
        <family val="2"/>
        <charset val="134"/>
      </rPr>
      <t>月数据</t>
    </r>
  </si>
  <si>
    <r>
      <rPr>
        <sz val="9"/>
        <color theme="1"/>
        <rFont val="微软雅黑"/>
        <family val="2"/>
        <charset val="134"/>
      </rPr>
      <t>装车量</t>
    </r>
    <r>
      <rPr>
        <sz val="9"/>
        <color theme="1"/>
        <rFont val="Arial"/>
        <family val="2"/>
      </rPr>
      <t>(GWh)</t>
    </r>
  </si>
  <si>
    <r>
      <rPr>
        <sz val="9"/>
        <color theme="1"/>
        <rFont val="微软雅黑"/>
        <family val="2"/>
        <charset val="134"/>
      </rPr>
      <t>鹏辉电源</t>
    </r>
  </si>
  <si>
    <r>
      <rPr>
        <sz val="9"/>
        <color theme="1"/>
        <rFont val="微软雅黑"/>
        <family val="2"/>
        <charset val="134"/>
      </rPr>
      <t>鹏辉能源</t>
    </r>
  </si>
  <si>
    <r>
      <t>2022</t>
    </r>
    <r>
      <rPr>
        <sz val="9"/>
        <color theme="1"/>
        <rFont val="微软雅黑"/>
        <family val="2"/>
        <charset val="134"/>
      </rPr>
      <t>年</t>
    </r>
    <r>
      <rPr>
        <sz val="9"/>
        <color theme="1"/>
        <rFont val="Arial"/>
        <family val="2"/>
      </rPr>
      <t>2</t>
    </r>
    <r>
      <rPr>
        <sz val="9"/>
        <color theme="1"/>
        <rFont val="微软雅黑"/>
        <family val="2"/>
        <charset val="134"/>
      </rPr>
      <t>月数据</t>
    </r>
  </si>
  <si>
    <r>
      <t>2022</t>
    </r>
    <r>
      <rPr>
        <sz val="9"/>
        <color theme="1"/>
        <rFont val="微软雅黑"/>
        <family val="2"/>
        <charset val="134"/>
      </rPr>
      <t>年</t>
    </r>
    <r>
      <rPr>
        <sz val="9"/>
        <color theme="1"/>
        <rFont val="Arial"/>
        <family val="2"/>
      </rPr>
      <t>1-2</t>
    </r>
    <r>
      <rPr>
        <sz val="9"/>
        <color theme="1"/>
        <rFont val="微软雅黑"/>
        <family val="2"/>
        <charset val="134"/>
      </rPr>
      <t>月数据</t>
    </r>
  </si>
  <si>
    <r>
      <rPr>
        <sz val="9"/>
        <color theme="1"/>
        <rFont val="微软雅黑"/>
        <family val="2"/>
        <charset val="134"/>
      </rPr>
      <t>北电爱思特</t>
    </r>
  </si>
  <si>
    <r>
      <t>2022</t>
    </r>
    <r>
      <rPr>
        <sz val="9"/>
        <color theme="1"/>
        <rFont val="微软雅黑"/>
        <family val="2"/>
        <charset val="134"/>
      </rPr>
      <t>年</t>
    </r>
    <r>
      <rPr>
        <sz val="9"/>
        <color theme="1"/>
        <rFont val="Arial"/>
        <family val="2"/>
      </rPr>
      <t>1</t>
    </r>
    <r>
      <rPr>
        <sz val="9"/>
        <color theme="1"/>
        <rFont val="微软雅黑"/>
        <family val="2"/>
        <charset val="134"/>
      </rPr>
      <t>月数据</t>
    </r>
  </si>
  <si>
    <r>
      <rPr>
        <sz val="9"/>
        <color theme="1"/>
        <rFont val="微软雅黑"/>
        <family val="2"/>
        <charset val="134"/>
      </rPr>
      <t>以中国汽车协会为标准</t>
    </r>
  </si>
  <si>
    <r>
      <rPr>
        <sz val="9"/>
        <color rgb="FF000000"/>
        <rFont val="微软雅黑"/>
        <family val="2"/>
        <charset val="134"/>
      </rPr>
      <t>排名</t>
    </r>
  </si>
  <si>
    <r>
      <rPr>
        <sz val="9"/>
        <color rgb="FF000000"/>
        <rFont val="微软雅黑"/>
        <family val="2"/>
        <charset val="134"/>
      </rPr>
      <t>装机量</t>
    </r>
    <r>
      <rPr>
        <sz val="9"/>
        <color rgb="FF000000"/>
        <rFont val="Arial"/>
        <family val="2"/>
      </rPr>
      <t>(GWh)</t>
    </r>
  </si>
  <si>
    <r>
      <rPr>
        <sz val="9"/>
        <color rgb="FF000000"/>
        <rFont val="微软雅黑"/>
        <family val="2"/>
        <charset val="134"/>
      </rPr>
      <t>动力电池装机量合计当月值</t>
    </r>
    <r>
      <rPr>
        <sz val="9"/>
        <color rgb="FF000000"/>
        <rFont val="Arial"/>
        <family val="2"/>
      </rPr>
      <t>(GWh)</t>
    </r>
  </si>
  <si>
    <r>
      <t>2021</t>
    </r>
    <r>
      <rPr>
        <sz val="9"/>
        <color theme="1"/>
        <rFont val="微软雅黑"/>
        <family val="2"/>
        <charset val="134"/>
      </rPr>
      <t>年</t>
    </r>
    <r>
      <rPr>
        <sz val="9"/>
        <color theme="1"/>
        <rFont val="Arial"/>
        <family val="2"/>
      </rPr>
      <t>12</t>
    </r>
    <r>
      <rPr>
        <sz val="9"/>
        <color theme="1"/>
        <rFont val="微软雅黑"/>
        <family val="2"/>
        <charset val="134"/>
      </rPr>
      <t>月数据</t>
    </r>
  </si>
  <si>
    <r>
      <t>2021</t>
    </r>
    <r>
      <rPr>
        <sz val="9"/>
        <color theme="1"/>
        <rFont val="微软雅黑"/>
        <family val="2"/>
        <charset val="134"/>
      </rPr>
      <t>年</t>
    </r>
    <r>
      <rPr>
        <sz val="9"/>
        <color theme="1"/>
        <rFont val="Arial"/>
        <family val="2"/>
      </rPr>
      <t>1-12</t>
    </r>
    <r>
      <rPr>
        <sz val="9"/>
        <color theme="1"/>
        <rFont val="微软雅黑"/>
        <family val="2"/>
        <charset val="134"/>
      </rPr>
      <t>月数据</t>
    </r>
  </si>
  <si>
    <r>
      <rPr>
        <sz val="9"/>
        <color rgb="FF000000"/>
        <rFont val="微软雅黑"/>
        <family val="2"/>
        <charset val="134"/>
      </rPr>
      <t>动力电池装机量合计累计值</t>
    </r>
    <r>
      <rPr>
        <sz val="9"/>
        <color rgb="FF000000"/>
        <rFont val="Arial"/>
        <family val="2"/>
      </rPr>
      <t>(GWh)</t>
    </r>
  </si>
  <si>
    <r>
      <rPr>
        <sz val="9"/>
        <color rgb="FF000000"/>
        <rFont val="微软雅黑"/>
        <family val="2"/>
        <charset val="134"/>
      </rPr>
      <t>中创新航</t>
    </r>
    <r>
      <rPr>
        <sz val="9"/>
        <color rgb="FF000000"/>
        <rFont val="Arial"/>
        <family val="2"/>
      </rPr>
      <t>(</t>
    </r>
    <r>
      <rPr>
        <sz val="9"/>
        <color rgb="FF000000"/>
        <rFont val="微软雅黑"/>
        <family val="2"/>
        <charset val="134"/>
      </rPr>
      <t>中航锂电</t>
    </r>
    <r>
      <rPr>
        <sz val="9"/>
        <color rgb="FF000000"/>
        <rFont val="Arial"/>
        <family val="2"/>
      </rPr>
      <t>)</t>
    </r>
  </si>
  <si>
    <r>
      <rPr>
        <sz val="9"/>
        <color theme="1"/>
        <rFont val="微软雅黑"/>
        <family val="2"/>
        <charset val="134"/>
      </rPr>
      <t>塔菲尔新能源</t>
    </r>
  </si>
  <si>
    <r>
      <rPr>
        <sz val="9"/>
        <color rgb="FF000000"/>
        <rFont val="微软雅黑"/>
        <family val="2"/>
        <charset val="134"/>
      </rPr>
      <t>塔菲尔新能源</t>
    </r>
  </si>
  <si>
    <r>
      <t>2021</t>
    </r>
    <r>
      <rPr>
        <sz val="9"/>
        <color theme="1"/>
        <rFont val="微软雅黑"/>
        <family val="2"/>
        <charset val="134"/>
      </rPr>
      <t>年</t>
    </r>
    <r>
      <rPr>
        <sz val="9"/>
        <color theme="1"/>
        <rFont val="Arial"/>
        <family val="2"/>
      </rPr>
      <t>11</t>
    </r>
    <r>
      <rPr>
        <sz val="9"/>
        <color theme="1"/>
        <rFont val="微软雅黑"/>
        <family val="2"/>
        <charset val="134"/>
      </rPr>
      <t>月数据</t>
    </r>
  </si>
  <si>
    <r>
      <t>2021</t>
    </r>
    <r>
      <rPr>
        <sz val="9"/>
        <color theme="1"/>
        <rFont val="微软雅黑"/>
        <family val="2"/>
        <charset val="134"/>
      </rPr>
      <t>年</t>
    </r>
    <r>
      <rPr>
        <sz val="9"/>
        <color theme="1"/>
        <rFont val="Arial"/>
        <family val="2"/>
      </rPr>
      <t>1-11</t>
    </r>
    <r>
      <rPr>
        <sz val="9"/>
        <color theme="1"/>
        <rFont val="微软雅黑"/>
        <family val="2"/>
        <charset val="134"/>
      </rPr>
      <t>月数据</t>
    </r>
  </si>
  <si>
    <r>
      <t>2021</t>
    </r>
    <r>
      <rPr>
        <sz val="9"/>
        <color theme="1"/>
        <rFont val="微软雅黑"/>
        <family val="2"/>
        <charset val="134"/>
      </rPr>
      <t>年</t>
    </r>
    <r>
      <rPr>
        <sz val="9"/>
        <color theme="1"/>
        <rFont val="Arial"/>
        <family val="2"/>
      </rPr>
      <t>10</t>
    </r>
    <r>
      <rPr>
        <sz val="9"/>
        <color theme="1"/>
        <rFont val="微软雅黑"/>
        <family val="2"/>
        <charset val="134"/>
      </rPr>
      <t>月数据</t>
    </r>
  </si>
  <si>
    <r>
      <t>2021</t>
    </r>
    <r>
      <rPr>
        <sz val="9"/>
        <color theme="1"/>
        <rFont val="微软雅黑"/>
        <family val="2"/>
        <charset val="134"/>
      </rPr>
      <t>年</t>
    </r>
    <r>
      <rPr>
        <sz val="9"/>
        <color theme="1"/>
        <rFont val="Arial"/>
        <family val="2"/>
      </rPr>
      <t>1-10</t>
    </r>
    <r>
      <rPr>
        <sz val="9"/>
        <color theme="1"/>
        <rFont val="微软雅黑"/>
        <family val="2"/>
        <charset val="134"/>
      </rPr>
      <t>月数据</t>
    </r>
  </si>
  <si>
    <r>
      <rPr>
        <sz val="9"/>
        <color rgb="FF000000"/>
        <rFont val="微软雅黑"/>
        <family val="2"/>
        <charset val="134"/>
      </rPr>
      <t>中航锂电</t>
    </r>
  </si>
  <si>
    <r>
      <t>2021</t>
    </r>
    <r>
      <rPr>
        <sz val="9"/>
        <color theme="1"/>
        <rFont val="微软雅黑"/>
        <family val="2"/>
        <charset val="134"/>
      </rPr>
      <t>年</t>
    </r>
    <r>
      <rPr>
        <sz val="9"/>
        <color theme="1"/>
        <rFont val="Arial"/>
        <family val="2"/>
      </rPr>
      <t>9</t>
    </r>
    <r>
      <rPr>
        <sz val="9"/>
        <color theme="1"/>
        <rFont val="微软雅黑"/>
        <family val="2"/>
        <charset val="134"/>
      </rPr>
      <t>月数据</t>
    </r>
  </si>
  <si>
    <r>
      <t>2021</t>
    </r>
    <r>
      <rPr>
        <sz val="9"/>
        <color theme="1"/>
        <rFont val="微软雅黑"/>
        <family val="2"/>
        <charset val="134"/>
      </rPr>
      <t>年</t>
    </r>
    <r>
      <rPr>
        <sz val="9"/>
        <color theme="1"/>
        <rFont val="Arial"/>
        <family val="2"/>
      </rPr>
      <t>1-9</t>
    </r>
    <r>
      <rPr>
        <sz val="9"/>
        <color theme="1"/>
        <rFont val="微软雅黑"/>
        <family val="2"/>
        <charset val="134"/>
      </rPr>
      <t>月数据</t>
    </r>
  </si>
  <si>
    <r>
      <t>2021</t>
    </r>
    <r>
      <rPr>
        <sz val="9"/>
        <color theme="1"/>
        <rFont val="微软雅黑"/>
        <family val="2"/>
        <charset val="134"/>
      </rPr>
      <t>年</t>
    </r>
    <r>
      <rPr>
        <sz val="9"/>
        <color theme="1"/>
        <rFont val="Arial"/>
        <family val="2"/>
      </rPr>
      <t>8</t>
    </r>
    <r>
      <rPr>
        <sz val="9"/>
        <color theme="1"/>
        <rFont val="微软雅黑"/>
        <family val="2"/>
        <charset val="134"/>
      </rPr>
      <t>月数据</t>
    </r>
  </si>
  <si>
    <r>
      <t>2021</t>
    </r>
    <r>
      <rPr>
        <sz val="9"/>
        <color theme="1"/>
        <rFont val="微软雅黑"/>
        <family val="2"/>
        <charset val="134"/>
      </rPr>
      <t>年</t>
    </r>
    <r>
      <rPr>
        <sz val="9"/>
        <color theme="1"/>
        <rFont val="Arial"/>
        <family val="2"/>
      </rPr>
      <t>1-8</t>
    </r>
    <r>
      <rPr>
        <sz val="9"/>
        <color theme="1"/>
        <rFont val="微软雅黑"/>
        <family val="2"/>
        <charset val="134"/>
      </rPr>
      <t>月数据</t>
    </r>
  </si>
  <si>
    <r>
      <rPr>
        <sz val="9"/>
        <color rgb="FF000000"/>
        <rFont val="微软雅黑"/>
        <family val="2"/>
        <charset val="134"/>
      </rPr>
      <t>装机量</t>
    </r>
    <r>
      <rPr>
        <sz val="9"/>
        <color rgb="FF000000"/>
        <rFont val="Arial"/>
        <family val="2"/>
      </rPr>
      <t>GWh)</t>
    </r>
  </si>
  <si>
    <r>
      <t>LG</t>
    </r>
    <r>
      <rPr>
        <sz val="9"/>
        <color rgb="FF000000"/>
        <rFont val="微软雅黑"/>
        <family val="2"/>
        <charset val="134"/>
      </rPr>
      <t>化学</t>
    </r>
  </si>
  <si>
    <r>
      <t>2021</t>
    </r>
    <r>
      <rPr>
        <sz val="9"/>
        <color theme="1"/>
        <rFont val="微软雅黑"/>
        <family val="2"/>
        <charset val="134"/>
      </rPr>
      <t>年</t>
    </r>
    <r>
      <rPr>
        <sz val="9"/>
        <color theme="1"/>
        <rFont val="Arial"/>
        <family val="2"/>
      </rPr>
      <t>7</t>
    </r>
    <r>
      <rPr>
        <sz val="9"/>
        <color theme="1"/>
        <rFont val="微软雅黑"/>
        <family val="2"/>
        <charset val="134"/>
      </rPr>
      <t>月数据</t>
    </r>
  </si>
  <si>
    <r>
      <t>2021</t>
    </r>
    <r>
      <rPr>
        <sz val="9"/>
        <color theme="1"/>
        <rFont val="微软雅黑"/>
        <family val="2"/>
        <charset val="134"/>
      </rPr>
      <t>年</t>
    </r>
    <r>
      <rPr>
        <sz val="9"/>
        <color theme="1"/>
        <rFont val="Arial"/>
        <family val="2"/>
      </rPr>
      <t>1-7</t>
    </r>
    <r>
      <rPr>
        <sz val="9"/>
        <color theme="1"/>
        <rFont val="微软雅黑"/>
        <family val="2"/>
        <charset val="134"/>
      </rPr>
      <t>月数据</t>
    </r>
  </si>
  <si>
    <r>
      <rPr>
        <sz val="9"/>
        <color rgb="FF000000"/>
        <rFont val="微软雅黑"/>
        <family val="2"/>
        <charset val="134"/>
      </rPr>
      <t>中航僕电</t>
    </r>
  </si>
  <si>
    <r>
      <rPr>
        <sz val="9"/>
        <color rgb="FF000000"/>
        <rFont val="微软雅黑"/>
        <family val="2"/>
        <charset val="134"/>
      </rPr>
      <t>国轩髙科</t>
    </r>
  </si>
  <si>
    <r>
      <rPr>
        <sz val="9"/>
        <color rgb="FF000000"/>
        <rFont val="微软雅黑"/>
        <family val="2"/>
        <charset val="134"/>
      </rPr>
      <t>力神电池</t>
    </r>
  </si>
  <si>
    <r>
      <rPr>
        <sz val="9"/>
        <color rgb="FF000000"/>
        <rFont val="微软雅黑"/>
        <family val="2"/>
        <charset val="134"/>
      </rPr>
      <t>鸠輝能源</t>
    </r>
  </si>
  <si>
    <r>
      <rPr>
        <sz val="9"/>
        <color rgb="FF000000"/>
        <rFont val="微软雅黑"/>
        <family val="2"/>
        <charset val="134"/>
      </rPr>
      <t>膳辉能源</t>
    </r>
  </si>
  <si>
    <r>
      <rPr>
        <sz val="9"/>
        <color rgb="FF000000"/>
        <rFont val="微软雅黑"/>
        <family val="2"/>
        <charset val="134"/>
      </rPr>
      <t>欣叶达</t>
    </r>
  </si>
  <si>
    <r>
      <rPr>
        <sz val="9"/>
        <color rgb="FF000000"/>
        <rFont val="微软雅黑"/>
        <family val="2"/>
        <charset val="134"/>
      </rPr>
      <t>多氣多</t>
    </r>
  </si>
  <si>
    <r>
      <t xml:space="preserve">	</t>
    </r>
    <r>
      <rPr>
        <sz val="9"/>
        <color rgb="FF000000"/>
        <rFont val="微软雅黑"/>
        <family val="2"/>
        <charset val="134"/>
      </rPr>
      <t xml:space="preserve">华鼎国联	</t>
    </r>
  </si>
  <si>
    <r>
      <t>2021</t>
    </r>
    <r>
      <rPr>
        <sz val="9"/>
        <color theme="1"/>
        <rFont val="微软雅黑"/>
        <family val="2"/>
        <charset val="134"/>
      </rPr>
      <t>年</t>
    </r>
    <r>
      <rPr>
        <sz val="9"/>
        <color theme="1"/>
        <rFont val="Arial"/>
        <family val="2"/>
      </rPr>
      <t>6</t>
    </r>
    <r>
      <rPr>
        <sz val="9"/>
        <color theme="1"/>
        <rFont val="微软雅黑"/>
        <family val="2"/>
        <charset val="134"/>
      </rPr>
      <t>月数据</t>
    </r>
  </si>
  <si>
    <r>
      <t>2021</t>
    </r>
    <r>
      <rPr>
        <sz val="9"/>
        <color theme="1"/>
        <rFont val="微软雅黑"/>
        <family val="2"/>
        <charset val="134"/>
      </rPr>
      <t>年</t>
    </r>
    <r>
      <rPr>
        <sz val="9"/>
        <color theme="1"/>
        <rFont val="Arial"/>
        <family val="2"/>
      </rPr>
      <t>1-6</t>
    </r>
    <r>
      <rPr>
        <sz val="9"/>
        <color theme="1"/>
        <rFont val="微软雅黑"/>
        <family val="2"/>
        <charset val="134"/>
      </rPr>
      <t>月数据</t>
    </r>
  </si>
  <si>
    <r>
      <t>2021</t>
    </r>
    <r>
      <rPr>
        <sz val="9"/>
        <color theme="1"/>
        <rFont val="微软雅黑"/>
        <family val="2"/>
        <charset val="134"/>
      </rPr>
      <t>年</t>
    </r>
    <r>
      <rPr>
        <sz val="9"/>
        <color theme="1"/>
        <rFont val="Arial"/>
        <family val="2"/>
      </rPr>
      <t>5</t>
    </r>
    <r>
      <rPr>
        <sz val="9"/>
        <color theme="1"/>
        <rFont val="微软雅黑"/>
        <family val="2"/>
        <charset val="134"/>
      </rPr>
      <t>月数据</t>
    </r>
  </si>
  <si>
    <r>
      <t>2021</t>
    </r>
    <r>
      <rPr>
        <sz val="9"/>
        <color theme="1"/>
        <rFont val="微软雅黑"/>
        <family val="2"/>
        <charset val="134"/>
      </rPr>
      <t>年</t>
    </r>
    <r>
      <rPr>
        <sz val="9"/>
        <color theme="1"/>
        <rFont val="Arial"/>
        <family val="2"/>
      </rPr>
      <t>1-5</t>
    </r>
    <r>
      <rPr>
        <sz val="9"/>
        <color theme="1"/>
        <rFont val="微软雅黑"/>
        <family val="2"/>
        <charset val="134"/>
      </rPr>
      <t>月数据</t>
    </r>
  </si>
  <si>
    <r>
      <rPr>
        <sz val="9"/>
        <color rgb="FF000000"/>
        <rFont val="微软雅黑"/>
        <family val="2"/>
        <charset val="134"/>
      </rPr>
      <t>蟬巢能源</t>
    </r>
  </si>
  <si>
    <r>
      <t>2021</t>
    </r>
    <r>
      <rPr>
        <sz val="9"/>
        <color theme="1"/>
        <rFont val="微软雅黑"/>
        <family val="2"/>
        <charset val="134"/>
      </rPr>
      <t>年</t>
    </r>
    <r>
      <rPr>
        <sz val="9"/>
        <color theme="1"/>
        <rFont val="Arial"/>
        <family val="2"/>
      </rPr>
      <t>4</t>
    </r>
    <r>
      <rPr>
        <sz val="9"/>
        <color theme="1"/>
        <rFont val="微软雅黑"/>
        <family val="2"/>
        <charset val="134"/>
      </rPr>
      <t>月数据</t>
    </r>
  </si>
  <si>
    <r>
      <t>2021</t>
    </r>
    <r>
      <rPr>
        <sz val="9"/>
        <color theme="1"/>
        <rFont val="微软雅黑"/>
        <family val="2"/>
        <charset val="134"/>
      </rPr>
      <t>年</t>
    </r>
    <r>
      <rPr>
        <sz val="9"/>
        <color theme="1"/>
        <rFont val="Arial"/>
        <family val="2"/>
      </rPr>
      <t>1-4</t>
    </r>
    <r>
      <rPr>
        <sz val="9"/>
        <color theme="1"/>
        <rFont val="微软雅黑"/>
        <family val="2"/>
        <charset val="134"/>
      </rPr>
      <t>月数据</t>
    </r>
  </si>
  <si>
    <r>
      <rPr>
        <sz val="9"/>
        <color rgb="FF000000"/>
        <rFont val="微软雅黑"/>
        <family val="2"/>
        <charset val="134"/>
      </rPr>
      <t>鹏辉电源</t>
    </r>
  </si>
  <si>
    <r>
      <t>2021</t>
    </r>
    <r>
      <rPr>
        <sz val="9"/>
        <color theme="1"/>
        <rFont val="微软雅黑"/>
        <family val="2"/>
        <charset val="134"/>
      </rPr>
      <t>年</t>
    </r>
    <r>
      <rPr>
        <sz val="9"/>
        <color theme="1"/>
        <rFont val="Arial"/>
        <family val="2"/>
      </rPr>
      <t>3</t>
    </r>
    <r>
      <rPr>
        <sz val="9"/>
        <color theme="1"/>
        <rFont val="微软雅黑"/>
        <family val="2"/>
        <charset val="134"/>
      </rPr>
      <t>月数据</t>
    </r>
  </si>
  <si>
    <r>
      <t>2021</t>
    </r>
    <r>
      <rPr>
        <sz val="9"/>
        <color theme="1"/>
        <rFont val="微软雅黑"/>
        <family val="2"/>
        <charset val="134"/>
      </rPr>
      <t>年</t>
    </r>
    <r>
      <rPr>
        <sz val="9"/>
        <color theme="1"/>
        <rFont val="Arial"/>
        <family val="2"/>
      </rPr>
      <t>1-3</t>
    </r>
    <r>
      <rPr>
        <sz val="9"/>
        <color theme="1"/>
        <rFont val="微软雅黑"/>
        <family val="2"/>
        <charset val="134"/>
      </rPr>
      <t>月数据</t>
    </r>
  </si>
  <si>
    <r>
      <rPr>
        <sz val="9"/>
        <color rgb="FF000000"/>
        <rFont val="微软雅黑"/>
        <family val="2"/>
        <charset val="134"/>
      </rPr>
      <t>多氟多新能源</t>
    </r>
  </si>
  <si>
    <r>
      <t>2021</t>
    </r>
    <r>
      <rPr>
        <sz val="9"/>
        <color theme="1"/>
        <rFont val="微软雅黑"/>
        <family val="2"/>
        <charset val="134"/>
      </rPr>
      <t>年</t>
    </r>
    <r>
      <rPr>
        <sz val="9"/>
        <color theme="1"/>
        <rFont val="Arial"/>
        <family val="2"/>
      </rPr>
      <t>2</t>
    </r>
    <r>
      <rPr>
        <sz val="9"/>
        <color theme="1"/>
        <rFont val="微软雅黑"/>
        <family val="2"/>
        <charset val="134"/>
      </rPr>
      <t>月数据</t>
    </r>
  </si>
  <si>
    <r>
      <t>2021</t>
    </r>
    <r>
      <rPr>
        <sz val="9"/>
        <color theme="1"/>
        <rFont val="微软雅黑"/>
        <family val="2"/>
        <charset val="134"/>
      </rPr>
      <t>年</t>
    </r>
    <r>
      <rPr>
        <sz val="9"/>
        <color theme="1"/>
        <rFont val="Arial"/>
        <family val="2"/>
      </rPr>
      <t>1-2</t>
    </r>
    <r>
      <rPr>
        <sz val="9"/>
        <color theme="1"/>
        <rFont val="微软雅黑"/>
        <family val="2"/>
        <charset val="134"/>
      </rPr>
      <t>月数据</t>
    </r>
  </si>
  <si>
    <r>
      <t>2021</t>
    </r>
    <r>
      <rPr>
        <sz val="9"/>
        <color theme="1"/>
        <rFont val="微软雅黑"/>
        <family val="2"/>
        <charset val="134"/>
      </rPr>
      <t>年</t>
    </r>
    <r>
      <rPr>
        <sz val="9"/>
        <color theme="1"/>
        <rFont val="Arial"/>
        <family val="2"/>
      </rPr>
      <t>1</t>
    </r>
    <r>
      <rPr>
        <sz val="9"/>
        <color theme="1"/>
        <rFont val="微软雅黑"/>
        <family val="2"/>
        <charset val="134"/>
      </rPr>
      <t>月数据</t>
    </r>
  </si>
  <si>
    <r>
      <rPr>
        <sz val="9"/>
        <color rgb="FF000000"/>
        <rFont val="微软雅黑"/>
        <family val="2"/>
        <charset val="134"/>
      </rPr>
      <t>北电爱思特</t>
    </r>
  </si>
  <si>
    <r>
      <t>2020</t>
    </r>
    <r>
      <rPr>
        <sz val="9"/>
        <color theme="1"/>
        <rFont val="微软雅黑"/>
        <family val="2"/>
        <charset val="134"/>
      </rPr>
      <t>年</t>
    </r>
    <r>
      <rPr>
        <sz val="9"/>
        <color theme="1"/>
        <rFont val="Arial"/>
        <family val="2"/>
      </rPr>
      <t>12</t>
    </r>
    <r>
      <rPr>
        <sz val="9"/>
        <color theme="1"/>
        <rFont val="微软雅黑"/>
        <family val="2"/>
        <charset val="134"/>
      </rPr>
      <t>月数据</t>
    </r>
  </si>
  <si>
    <r>
      <t>2020</t>
    </r>
    <r>
      <rPr>
        <sz val="9"/>
        <color theme="1"/>
        <rFont val="微软雅黑"/>
        <family val="2"/>
        <charset val="134"/>
      </rPr>
      <t>年</t>
    </r>
    <r>
      <rPr>
        <sz val="9"/>
        <color theme="1"/>
        <rFont val="Arial"/>
        <family val="2"/>
      </rPr>
      <t>1-12</t>
    </r>
    <r>
      <rPr>
        <sz val="9"/>
        <color theme="1"/>
        <rFont val="微软雅黑"/>
        <family val="2"/>
        <charset val="134"/>
      </rPr>
      <t>月数据</t>
    </r>
  </si>
  <si>
    <r>
      <t>2020</t>
    </r>
    <r>
      <rPr>
        <sz val="9"/>
        <color theme="1"/>
        <rFont val="微软雅黑"/>
        <family val="2"/>
        <charset val="134"/>
      </rPr>
      <t>年</t>
    </r>
    <r>
      <rPr>
        <sz val="9"/>
        <color theme="1"/>
        <rFont val="Arial"/>
        <family val="2"/>
      </rPr>
      <t>11</t>
    </r>
    <r>
      <rPr>
        <sz val="9"/>
        <color theme="1"/>
        <rFont val="微软雅黑"/>
        <family val="2"/>
        <charset val="134"/>
      </rPr>
      <t>月数据</t>
    </r>
  </si>
  <si>
    <r>
      <t>2020</t>
    </r>
    <r>
      <rPr>
        <sz val="9"/>
        <color theme="1"/>
        <rFont val="微软雅黑"/>
        <family val="2"/>
        <charset val="134"/>
      </rPr>
      <t>年</t>
    </r>
    <r>
      <rPr>
        <sz val="9"/>
        <color theme="1"/>
        <rFont val="Arial"/>
        <family val="2"/>
      </rPr>
      <t>1-11</t>
    </r>
    <r>
      <rPr>
        <sz val="9"/>
        <color theme="1"/>
        <rFont val="微软雅黑"/>
        <family val="2"/>
        <charset val="134"/>
      </rPr>
      <t>月数据</t>
    </r>
  </si>
  <si>
    <r>
      <rPr>
        <sz val="9"/>
        <color rgb="FF000000"/>
        <rFont val="微软雅黑"/>
        <family val="2"/>
        <charset val="134"/>
      </rPr>
      <t>合肥国轩</t>
    </r>
  </si>
  <si>
    <r>
      <rPr>
        <sz val="9"/>
        <color rgb="FF000000"/>
        <rFont val="微软雅黑"/>
        <family val="2"/>
        <charset val="134"/>
      </rPr>
      <t>刀神电池</t>
    </r>
  </si>
  <si>
    <r>
      <t>2020</t>
    </r>
    <r>
      <rPr>
        <sz val="9"/>
        <color theme="1"/>
        <rFont val="微软雅黑"/>
        <family val="2"/>
        <charset val="134"/>
      </rPr>
      <t>年</t>
    </r>
    <r>
      <rPr>
        <sz val="9"/>
        <color theme="1"/>
        <rFont val="Arial"/>
        <family val="2"/>
      </rPr>
      <t>10</t>
    </r>
    <r>
      <rPr>
        <sz val="9"/>
        <color theme="1"/>
        <rFont val="微软雅黑"/>
        <family val="2"/>
        <charset val="134"/>
      </rPr>
      <t>月数据</t>
    </r>
  </si>
  <si>
    <r>
      <t>2020</t>
    </r>
    <r>
      <rPr>
        <sz val="9"/>
        <color theme="1"/>
        <rFont val="微软雅黑"/>
        <family val="2"/>
        <charset val="134"/>
      </rPr>
      <t>年</t>
    </r>
    <r>
      <rPr>
        <sz val="9"/>
        <color theme="1"/>
        <rFont val="Arial"/>
        <family val="2"/>
      </rPr>
      <t>1-10</t>
    </r>
    <r>
      <rPr>
        <sz val="9"/>
        <color theme="1"/>
        <rFont val="微软雅黑"/>
        <family val="2"/>
        <charset val="134"/>
      </rPr>
      <t>月数据</t>
    </r>
  </si>
  <si>
    <r>
      <t>2020</t>
    </r>
    <r>
      <rPr>
        <sz val="9"/>
        <color theme="1"/>
        <rFont val="微软雅黑"/>
        <family val="2"/>
        <charset val="134"/>
      </rPr>
      <t>年</t>
    </r>
    <r>
      <rPr>
        <sz val="9"/>
        <color theme="1"/>
        <rFont val="Arial"/>
        <family val="2"/>
      </rPr>
      <t>9</t>
    </r>
    <r>
      <rPr>
        <sz val="9"/>
        <color theme="1"/>
        <rFont val="微软雅黑"/>
        <family val="2"/>
        <charset val="134"/>
      </rPr>
      <t>月数据</t>
    </r>
  </si>
  <si>
    <r>
      <t>2020</t>
    </r>
    <r>
      <rPr>
        <sz val="9"/>
        <color theme="1"/>
        <rFont val="微软雅黑"/>
        <family val="2"/>
        <charset val="134"/>
      </rPr>
      <t>年</t>
    </r>
    <r>
      <rPr>
        <sz val="9"/>
        <color theme="1"/>
        <rFont val="Arial"/>
        <family val="2"/>
      </rPr>
      <t>1-9</t>
    </r>
    <r>
      <rPr>
        <sz val="9"/>
        <color theme="1"/>
        <rFont val="微软雅黑"/>
        <family val="2"/>
        <charset val="134"/>
      </rPr>
      <t>月数据</t>
    </r>
  </si>
  <si>
    <r>
      <t>2020</t>
    </r>
    <r>
      <rPr>
        <sz val="9"/>
        <color theme="1"/>
        <rFont val="微软雅黑"/>
        <family val="2"/>
        <charset val="134"/>
      </rPr>
      <t>年</t>
    </r>
    <r>
      <rPr>
        <sz val="9"/>
        <color theme="1"/>
        <rFont val="Arial"/>
        <family val="2"/>
      </rPr>
      <t>8</t>
    </r>
    <r>
      <rPr>
        <sz val="9"/>
        <color theme="1"/>
        <rFont val="微软雅黑"/>
        <family val="2"/>
        <charset val="134"/>
      </rPr>
      <t>月数据</t>
    </r>
  </si>
  <si>
    <r>
      <t>2020</t>
    </r>
    <r>
      <rPr>
        <sz val="9"/>
        <color theme="1"/>
        <rFont val="微软雅黑"/>
        <family val="2"/>
        <charset val="134"/>
      </rPr>
      <t>年</t>
    </r>
    <r>
      <rPr>
        <sz val="9"/>
        <color theme="1"/>
        <rFont val="Arial"/>
        <family val="2"/>
      </rPr>
      <t>1-8</t>
    </r>
    <r>
      <rPr>
        <sz val="9"/>
        <color theme="1"/>
        <rFont val="微软雅黑"/>
        <family val="2"/>
        <charset val="134"/>
      </rPr>
      <t>月数据</t>
    </r>
  </si>
  <si>
    <r>
      <t>2020</t>
    </r>
    <r>
      <rPr>
        <sz val="9"/>
        <color theme="1"/>
        <rFont val="微软雅黑"/>
        <family val="2"/>
        <charset val="134"/>
      </rPr>
      <t>年</t>
    </r>
    <r>
      <rPr>
        <sz val="9"/>
        <color theme="1"/>
        <rFont val="Arial"/>
        <family val="2"/>
      </rPr>
      <t>7</t>
    </r>
    <r>
      <rPr>
        <sz val="9"/>
        <color theme="1"/>
        <rFont val="微软雅黑"/>
        <family val="2"/>
        <charset val="134"/>
      </rPr>
      <t>月数据</t>
    </r>
  </si>
  <si>
    <r>
      <t>2020</t>
    </r>
    <r>
      <rPr>
        <sz val="9"/>
        <color theme="1"/>
        <rFont val="微软雅黑"/>
        <family val="2"/>
        <charset val="134"/>
      </rPr>
      <t>年</t>
    </r>
    <r>
      <rPr>
        <sz val="9"/>
        <color theme="1"/>
        <rFont val="Arial"/>
        <family val="2"/>
      </rPr>
      <t>1-7</t>
    </r>
    <r>
      <rPr>
        <sz val="9"/>
        <color theme="1"/>
        <rFont val="微软雅黑"/>
        <family val="2"/>
        <charset val="134"/>
      </rPr>
      <t>月数据</t>
    </r>
  </si>
  <si>
    <r>
      <rPr>
        <sz val="9"/>
        <color rgb="FF000000"/>
        <rFont val="微软雅黑"/>
        <family val="2"/>
        <charset val="134"/>
      </rPr>
      <t>时代上汽</t>
    </r>
  </si>
  <si>
    <r>
      <t>2020</t>
    </r>
    <r>
      <rPr>
        <sz val="9"/>
        <color theme="1"/>
        <rFont val="微软雅黑"/>
        <family val="2"/>
        <charset val="134"/>
      </rPr>
      <t>年</t>
    </r>
    <r>
      <rPr>
        <sz val="9"/>
        <color theme="1"/>
        <rFont val="Arial"/>
        <family val="2"/>
      </rPr>
      <t>6</t>
    </r>
    <r>
      <rPr>
        <sz val="9"/>
        <color theme="1"/>
        <rFont val="微软雅黑"/>
        <family val="2"/>
        <charset val="134"/>
      </rPr>
      <t>月数据</t>
    </r>
  </si>
  <si>
    <r>
      <t>2020</t>
    </r>
    <r>
      <rPr>
        <sz val="9"/>
        <color theme="1"/>
        <rFont val="微软雅黑"/>
        <family val="2"/>
        <charset val="134"/>
      </rPr>
      <t>年</t>
    </r>
    <r>
      <rPr>
        <sz val="9"/>
        <color theme="1"/>
        <rFont val="Arial"/>
        <family val="2"/>
      </rPr>
      <t>1-6</t>
    </r>
    <r>
      <rPr>
        <sz val="9"/>
        <color theme="1"/>
        <rFont val="微软雅黑"/>
        <family val="2"/>
        <charset val="134"/>
      </rPr>
      <t>月数据</t>
    </r>
  </si>
  <si>
    <r>
      <t>2020</t>
    </r>
    <r>
      <rPr>
        <sz val="9"/>
        <color theme="1"/>
        <rFont val="微软雅黑"/>
        <family val="2"/>
        <charset val="134"/>
      </rPr>
      <t>年</t>
    </r>
    <r>
      <rPr>
        <sz val="9"/>
        <color theme="1"/>
        <rFont val="Arial"/>
        <family val="2"/>
      </rPr>
      <t>5</t>
    </r>
    <r>
      <rPr>
        <sz val="9"/>
        <color theme="1"/>
        <rFont val="微软雅黑"/>
        <family val="2"/>
        <charset val="134"/>
      </rPr>
      <t>月数据</t>
    </r>
  </si>
  <si>
    <r>
      <t>2020</t>
    </r>
    <r>
      <rPr>
        <sz val="9"/>
        <color theme="1"/>
        <rFont val="微软雅黑"/>
        <family val="2"/>
        <charset val="134"/>
      </rPr>
      <t>年</t>
    </r>
    <r>
      <rPr>
        <sz val="9"/>
        <color theme="1"/>
        <rFont val="Arial"/>
        <family val="2"/>
      </rPr>
      <t>1-5</t>
    </r>
    <r>
      <rPr>
        <sz val="9"/>
        <color theme="1"/>
        <rFont val="微软雅黑"/>
        <family val="2"/>
        <charset val="134"/>
      </rPr>
      <t>月数据</t>
    </r>
  </si>
  <si>
    <r>
      <t>2020</t>
    </r>
    <r>
      <rPr>
        <sz val="9"/>
        <color theme="1"/>
        <rFont val="微软雅黑"/>
        <family val="2"/>
        <charset val="134"/>
      </rPr>
      <t>年</t>
    </r>
    <r>
      <rPr>
        <sz val="9"/>
        <color theme="1"/>
        <rFont val="Arial"/>
        <family val="2"/>
      </rPr>
      <t>4</t>
    </r>
    <r>
      <rPr>
        <sz val="9"/>
        <color theme="1"/>
        <rFont val="微软雅黑"/>
        <family val="2"/>
        <charset val="134"/>
      </rPr>
      <t>月数据</t>
    </r>
  </si>
  <si>
    <r>
      <t>2020</t>
    </r>
    <r>
      <rPr>
        <sz val="9"/>
        <color theme="1"/>
        <rFont val="微软雅黑"/>
        <family val="2"/>
        <charset val="134"/>
      </rPr>
      <t>年</t>
    </r>
    <r>
      <rPr>
        <sz val="9"/>
        <color theme="1"/>
        <rFont val="Arial"/>
        <family val="2"/>
      </rPr>
      <t>1-4</t>
    </r>
    <r>
      <rPr>
        <sz val="9"/>
        <color theme="1"/>
        <rFont val="微软雅黑"/>
        <family val="2"/>
        <charset val="134"/>
      </rPr>
      <t>月数据</t>
    </r>
  </si>
  <si>
    <r>
      <t>2020</t>
    </r>
    <r>
      <rPr>
        <sz val="9"/>
        <color theme="1"/>
        <rFont val="微软雅黑"/>
        <family val="2"/>
        <charset val="134"/>
      </rPr>
      <t>年</t>
    </r>
    <r>
      <rPr>
        <sz val="9"/>
        <color theme="1"/>
        <rFont val="Arial"/>
        <family val="2"/>
      </rPr>
      <t>3</t>
    </r>
    <r>
      <rPr>
        <sz val="9"/>
        <color theme="1"/>
        <rFont val="微软雅黑"/>
        <family val="2"/>
        <charset val="134"/>
      </rPr>
      <t>月数据</t>
    </r>
  </si>
  <si>
    <r>
      <t>2020</t>
    </r>
    <r>
      <rPr>
        <sz val="9"/>
        <color theme="1"/>
        <rFont val="微软雅黑"/>
        <family val="2"/>
        <charset val="134"/>
      </rPr>
      <t>年</t>
    </r>
    <r>
      <rPr>
        <sz val="9"/>
        <color theme="1"/>
        <rFont val="Arial"/>
        <family val="2"/>
      </rPr>
      <t>1-3</t>
    </r>
    <r>
      <rPr>
        <sz val="9"/>
        <color theme="1"/>
        <rFont val="微软雅黑"/>
        <family val="2"/>
        <charset val="134"/>
      </rPr>
      <t>月数据</t>
    </r>
  </si>
  <si>
    <r>
      <t>2020</t>
    </r>
    <r>
      <rPr>
        <sz val="9"/>
        <color theme="1"/>
        <rFont val="微软雅黑"/>
        <family val="2"/>
        <charset val="134"/>
      </rPr>
      <t>年</t>
    </r>
    <r>
      <rPr>
        <sz val="9"/>
        <color theme="1"/>
        <rFont val="Arial"/>
        <family val="2"/>
      </rPr>
      <t>2</t>
    </r>
    <r>
      <rPr>
        <sz val="9"/>
        <color theme="1"/>
        <rFont val="微软雅黑"/>
        <family val="2"/>
        <charset val="134"/>
      </rPr>
      <t>月数据</t>
    </r>
  </si>
  <si>
    <r>
      <t>2020</t>
    </r>
    <r>
      <rPr>
        <sz val="9"/>
        <color theme="1"/>
        <rFont val="微软雅黑"/>
        <family val="2"/>
        <charset val="134"/>
      </rPr>
      <t>年</t>
    </r>
    <r>
      <rPr>
        <sz val="9"/>
        <color theme="1"/>
        <rFont val="Arial"/>
        <family val="2"/>
      </rPr>
      <t>1</t>
    </r>
    <r>
      <rPr>
        <sz val="9"/>
        <color theme="1"/>
        <rFont val="微软雅黑"/>
        <family val="2"/>
        <charset val="134"/>
      </rPr>
      <t>月数据</t>
    </r>
  </si>
  <si>
    <t xml:space="preserve">  </t>
    <phoneticPr fontId="14" type="noConversion"/>
  </si>
  <si>
    <r>
      <rPr>
        <sz val="8"/>
        <color theme="1"/>
        <rFont val="微软雅黑"/>
        <family val="2"/>
        <charset val="134"/>
      </rPr>
      <t>数据来源：</t>
    </r>
    <r>
      <rPr>
        <sz val="8"/>
        <color theme="1"/>
        <rFont val="Arial"/>
        <family val="2"/>
      </rPr>
      <t>SNE</t>
    </r>
    <phoneticPr fontId="14" type="noConversion"/>
  </si>
  <si>
    <r>
      <rPr>
        <sz val="8"/>
        <color theme="1"/>
        <rFont val="微软雅黑"/>
        <family val="2"/>
        <charset val="134"/>
      </rPr>
      <t>数据来源：动力电池联盟</t>
    </r>
    <phoneticPr fontId="14" type="noConversion"/>
  </si>
  <si>
    <r>
      <t>1</t>
    </r>
    <r>
      <rPr>
        <b/>
        <sz val="9"/>
        <color theme="0"/>
        <rFont val="微软雅黑"/>
        <family val="2"/>
        <charset val="134"/>
      </rPr>
      <t>月</t>
    </r>
  </si>
  <si>
    <r>
      <t>2</t>
    </r>
    <r>
      <rPr>
        <b/>
        <sz val="9"/>
        <color theme="0"/>
        <rFont val="微软雅黑"/>
        <family val="2"/>
        <charset val="134"/>
      </rPr>
      <t>月</t>
    </r>
  </si>
  <si>
    <r>
      <t>3</t>
    </r>
    <r>
      <rPr>
        <b/>
        <sz val="9"/>
        <color theme="0"/>
        <rFont val="微软雅黑"/>
        <family val="2"/>
        <charset val="134"/>
      </rPr>
      <t>月</t>
    </r>
  </si>
  <si>
    <r>
      <t>4</t>
    </r>
    <r>
      <rPr>
        <b/>
        <sz val="9"/>
        <color theme="0"/>
        <rFont val="微软雅黑"/>
        <family val="2"/>
        <charset val="134"/>
      </rPr>
      <t>月</t>
    </r>
  </si>
  <si>
    <r>
      <t>5</t>
    </r>
    <r>
      <rPr>
        <b/>
        <sz val="9"/>
        <color theme="0"/>
        <rFont val="微软雅黑"/>
        <family val="2"/>
        <charset val="134"/>
      </rPr>
      <t>月</t>
    </r>
  </si>
  <si>
    <r>
      <t>6</t>
    </r>
    <r>
      <rPr>
        <b/>
        <sz val="9"/>
        <color theme="0"/>
        <rFont val="微软雅黑"/>
        <family val="2"/>
        <charset val="134"/>
      </rPr>
      <t>月</t>
    </r>
  </si>
  <si>
    <r>
      <t>7</t>
    </r>
    <r>
      <rPr>
        <b/>
        <sz val="9"/>
        <color theme="0"/>
        <rFont val="微软雅黑"/>
        <family val="2"/>
        <charset val="134"/>
      </rPr>
      <t>月</t>
    </r>
  </si>
  <si>
    <r>
      <t>8</t>
    </r>
    <r>
      <rPr>
        <b/>
        <sz val="9"/>
        <color theme="0"/>
        <rFont val="微软雅黑"/>
        <family val="2"/>
        <charset val="134"/>
      </rPr>
      <t>月</t>
    </r>
  </si>
  <si>
    <r>
      <t>9</t>
    </r>
    <r>
      <rPr>
        <b/>
        <sz val="9"/>
        <color theme="0"/>
        <rFont val="微软雅黑"/>
        <family val="2"/>
        <charset val="134"/>
      </rPr>
      <t>月</t>
    </r>
  </si>
  <si>
    <r>
      <t>10</t>
    </r>
    <r>
      <rPr>
        <b/>
        <sz val="9"/>
        <color theme="0"/>
        <rFont val="微软雅黑"/>
        <family val="2"/>
        <charset val="134"/>
      </rPr>
      <t>月</t>
    </r>
  </si>
  <si>
    <r>
      <t>11</t>
    </r>
    <r>
      <rPr>
        <b/>
        <sz val="9"/>
        <color theme="0"/>
        <rFont val="微软雅黑"/>
        <family val="2"/>
        <charset val="134"/>
      </rPr>
      <t>月</t>
    </r>
  </si>
  <si>
    <r>
      <t>12</t>
    </r>
    <r>
      <rPr>
        <b/>
        <sz val="9"/>
        <color theme="0"/>
        <rFont val="微软雅黑"/>
        <family val="2"/>
        <charset val="134"/>
      </rPr>
      <t>月</t>
    </r>
  </si>
  <si>
    <r>
      <rPr>
        <b/>
        <sz val="9"/>
        <color theme="0"/>
        <rFont val="微软雅黑"/>
        <family val="2"/>
        <charset val="134"/>
      </rPr>
      <t>总计</t>
    </r>
  </si>
  <si>
    <r>
      <rPr>
        <sz val="9"/>
        <color theme="1"/>
        <rFont val="微软雅黑"/>
        <family val="2"/>
        <charset val="134"/>
      </rPr>
      <t>环比</t>
    </r>
  </si>
  <si>
    <r>
      <t>2024</t>
    </r>
    <r>
      <rPr>
        <sz val="9"/>
        <color rgb="FF000000"/>
        <rFont val="微软雅黑"/>
        <family val="2"/>
        <charset val="134"/>
      </rPr>
      <t>年占比</t>
    </r>
  </si>
  <si>
    <r>
      <t>2025</t>
    </r>
    <r>
      <rPr>
        <sz val="9"/>
        <color rgb="FF000000"/>
        <rFont val="微软雅黑"/>
        <family val="2"/>
        <charset val="134"/>
      </rPr>
      <t>年占比</t>
    </r>
  </si>
  <si>
    <r>
      <t>2024</t>
    </r>
    <r>
      <rPr>
        <sz val="9"/>
        <color rgb="FF000000"/>
        <rFont val="微软雅黑"/>
        <family val="2"/>
        <charset val="134"/>
      </rPr>
      <t>年</t>
    </r>
    <r>
      <rPr>
        <sz val="9"/>
        <color rgb="FF000000"/>
        <rFont val="Arial"/>
        <family val="2"/>
      </rPr>
      <t>1-11</t>
    </r>
    <r>
      <rPr>
        <sz val="9"/>
        <color rgb="FF000000"/>
        <rFont val="微软雅黑"/>
        <family val="2"/>
        <charset val="134"/>
      </rPr>
      <t>月</t>
    </r>
    <phoneticPr fontId="14" type="noConversion"/>
  </si>
  <si>
    <r>
      <t>2025</t>
    </r>
    <r>
      <rPr>
        <sz val="9"/>
        <color rgb="FF000000"/>
        <rFont val="微软雅黑"/>
        <family val="2"/>
        <charset val="134"/>
      </rPr>
      <t>年</t>
    </r>
    <r>
      <rPr>
        <sz val="9"/>
        <color rgb="FF000000"/>
        <rFont val="Arial"/>
        <family val="2"/>
      </rPr>
      <t>1-11</t>
    </r>
    <r>
      <rPr>
        <sz val="9"/>
        <color rgb="FF000000"/>
        <rFont val="微软雅黑"/>
        <family val="2"/>
        <charset val="134"/>
      </rPr>
      <t>月</t>
    </r>
    <phoneticPr fontId="14" type="noConversion"/>
  </si>
  <si>
    <r>
      <t>2024</t>
    </r>
    <r>
      <rPr>
        <sz val="9"/>
        <color rgb="FF000000"/>
        <rFont val="微软雅黑"/>
        <family val="2"/>
        <charset val="134"/>
      </rPr>
      <t>年</t>
    </r>
    <r>
      <rPr>
        <sz val="9"/>
        <color rgb="FF000000"/>
        <rFont val="Arial"/>
        <family val="2"/>
      </rPr>
      <t>1-10</t>
    </r>
    <r>
      <rPr>
        <sz val="9"/>
        <color rgb="FF000000"/>
        <rFont val="微软雅黑"/>
        <family val="2"/>
        <charset val="134"/>
      </rPr>
      <t>月</t>
    </r>
    <phoneticPr fontId="14" type="noConversion"/>
  </si>
  <si>
    <r>
      <t>2025</t>
    </r>
    <r>
      <rPr>
        <sz val="9"/>
        <color rgb="FF000000"/>
        <rFont val="微软雅黑"/>
        <family val="2"/>
        <charset val="134"/>
      </rPr>
      <t>年</t>
    </r>
    <r>
      <rPr>
        <sz val="9"/>
        <color rgb="FF000000"/>
        <rFont val="Arial"/>
        <family val="2"/>
      </rPr>
      <t>1-10</t>
    </r>
    <r>
      <rPr>
        <sz val="9"/>
        <color rgb="FF000000"/>
        <rFont val="微软雅黑"/>
        <family val="2"/>
        <charset val="134"/>
      </rPr>
      <t>月</t>
    </r>
    <phoneticPr fontId="14" type="noConversion"/>
  </si>
  <si>
    <r>
      <t>2024</t>
    </r>
    <r>
      <rPr>
        <sz val="9"/>
        <color rgb="FF000000"/>
        <rFont val="微软雅黑"/>
        <family val="2"/>
        <charset val="134"/>
      </rPr>
      <t>年</t>
    </r>
    <r>
      <rPr>
        <sz val="9"/>
        <color rgb="FF000000"/>
        <rFont val="Arial"/>
        <family val="2"/>
      </rPr>
      <t>1-9</t>
    </r>
    <r>
      <rPr>
        <sz val="9"/>
        <color rgb="FF000000"/>
        <rFont val="微软雅黑"/>
        <family val="2"/>
        <charset val="134"/>
      </rPr>
      <t>月</t>
    </r>
    <phoneticPr fontId="14" type="noConversion"/>
  </si>
  <si>
    <r>
      <t>2025</t>
    </r>
    <r>
      <rPr>
        <sz val="9"/>
        <color rgb="FF000000"/>
        <rFont val="微软雅黑"/>
        <family val="2"/>
        <charset val="134"/>
      </rPr>
      <t>年</t>
    </r>
    <r>
      <rPr>
        <sz val="9"/>
        <color rgb="FF000000"/>
        <rFont val="Arial"/>
        <family val="2"/>
      </rPr>
      <t>1-9</t>
    </r>
    <r>
      <rPr>
        <sz val="9"/>
        <color rgb="FF000000"/>
        <rFont val="微软雅黑"/>
        <family val="2"/>
        <charset val="134"/>
      </rPr>
      <t>月</t>
    </r>
    <phoneticPr fontId="14" type="noConversion"/>
  </si>
  <si>
    <r>
      <t>2024</t>
    </r>
    <r>
      <rPr>
        <sz val="9"/>
        <color rgb="FF000000"/>
        <rFont val="微软雅黑"/>
        <family val="2"/>
        <charset val="134"/>
      </rPr>
      <t>年</t>
    </r>
    <r>
      <rPr>
        <sz val="9"/>
        <color rgb="FF000000"/>
        <rFont val="Arial"/>
        <family val="2"/>
      </rPr>
      <t>1-8</t>
    </r>
    <r>
      <rPr>
        <sz val="9"/>
        <color rgb="FF000000"/>
        <rFont val="微软雅黑"/>
        <family val="2"/>
        <charset val="134"/>
      </rPr>
      <t>月</t>
    </r>
  </si>
  <si>
    <r>
      <t>2025</t>
    </r>
    <r>
      <rPr>
        <sz val="9"/>
        <color rgb="FF000000"/>
        <rFont val="微软雅黑"/>
        <family val="2"/>
        <charset val="134"/>
      </rPr>
      <t>年</t>
    </r>
    <r>
      <rPr>
        <sz val="9"/>
        <color rgb="FF000000"/>
        <rFont val="Arial"/>
        <family val="2"/>
      </rPr>
      <t>1-8</t>
    </r>
    <r>
      <rPr>
        <sz val="9"/>
        <color rgb="FF000000"/>
        <rFont val="微软雅黑"/>
        <family val="2"/>
        <charset val="134"/>
      </rPr>
      <t>月</t>
    </r>
  </si>
  <si>
    <r>
      <t>2024</t>
    </r>
    <r>
      <rPr>
        <sz val="9"/>
        <color rgb="FF000000"/>
        <rFont val="微软雅黑"/>
        <family val="2"/>
        <charset val="134"/>
      </rPr>
      <t>年</t>
    </r>
    <r>
      <rPr>
        <sz val="9"/>
        <color rgb="FF000000"/>
        <rFont val="Arial"/>
        <family val="2"/>
      </rPr>
      <t>1-7</t>
    </r>
    <r>
      <rPr>
        <sz val="9"/>
        <color rgb="FF000000"/>
        <rFont val="微软雅黑"/>
        <family val="2"/>
        <charset val="134"/>
      </rPr>
      <t>月</t>
    </r>
  </si>
  <si>
    <r>
      <t>2025</t>
    </r>
    <r>
      <rPr>
        <sz val="9"/>
        <color rgb="FF000000"/>
        <rFont val="微软雅黑"/>
        <family val="2"/>
        <charset val="134"/>
      </rPr>
      <t>年</t>
    </r>
    <r>
      <rPr>
        <sz val="9"/>
        <color rgb="FF000000"/>
        <rFont val="Arial"/>
        <family val="2"/>
      </rPr>
      <t>1-7</t>
    </r>
    <r>
      <rPr>
        <sz val="9"/>
        <color rgb="FF000000"/>
        <rFont val="微软雅黑"/>
        <family val="2"/>
        <charset val="134"/>
      </rPr>
      <t>月</t>
    </r>
  </si>
  <si>
    <r>
      <t>2025</t>
    </r>
    <r>
      <rPr>
        <sz val="9"/>
        <color theme="1"/>
        <rFont val="微软雅黑"/>
        <family val="2"/>
        <charset val="134"/>
      </rPr>
      <t>年占比</t>
    </r>
  </si>
  <si>
    <r>
      <t>2024</t>
    </r>
    <r>
      <rPr>
        <sz val="9"/>
        <color rgb="FF000000"/>
        <rFont val="微软雅黑"/>
        <family val="2"/>
        <charset val="134"/>
      </rPr>
      <t>年</t>
    </r>
    <r>
      <rPr>
        <sz val="9"/>
        <color rgb="FF000000"/>
        <rFont val="Arial"/>
        <family val="2"/>
      </rPr>
      <t>1-6</t>
    </r>
    <r>
      <rPr>
        <sz val="9"/>
        <color rgb="FF000000"/>
        <rFont val="微软雅黑"/>
        <family val="2"/>
        <charset val="134"/>
      </rPr>
      <t>月</t>
    </r>
  </si>
  <si>
    <r>
      <t>2025</t>
    </r>
    <r>
      <rPr>
        <sz val="9"/>
        <color rgb="FF000000"/>
        <rFont val="微软雅黑"/>
        <family val="2"/>
        <charset val="134"/>
      </rPr>
      <t>年</t>
    </r>
    <r>
      <rPr>
        <sz val="9"/>
        <color rgb="FF000000"/>
        <rFont val="Arial"/>
        <family val="2"/>
      </rPr>
      <t>1-6</t>
    </r>
    <r>
      <rPr>
        <sz val="9"/>
        <color rgb="FF000000"/>
        <rFont val="微软雅黑"/>
        <family val="2"/>
        <charset val="134"/>
      </rPr>
      <t>月</t>
    </r>
  </si>
  <si>
    <r>
      <t xml:space="preserve">2024 </t>
    </r>
    <r>
      <rPr>
        <sz val="9"/>
        <color theme="1"/>
        <rFont val="微软雅黑"/>
        <family val="2"/>
        <charset val="134"/>
      </rPr>
      <t>年占比</t>
    </r>
  </si>
  <si>
    <r>
      <t xml:space="preserve">2025 </t>
    </r>
    <r>
      <rPr>
        <sz val="9"/>
        <color theme="1"/>
        <rFont val="微软雅黑"/>
        <family val="2"/>
        <charset val="134"/>
      </rPr>
      <t>年占比</t>
    </r>
  </si>
  <si>
    <r>
      <t>2024</t>
    </r>
    <r>
      <rPr>
        <sz val="9"/>
        <color rgb="FF000000"/>
        <rFont val="微软雅黑"/>
        <family val="2"/>
        <charset val="134"/>
      </rPr>
      <t>年</t>
    </r>
    <r>
      <rPr>
        <sz val="9"/>
        <color rgb="FF000000"/>
        <rFont val="Arial"/>
        <family val="2"/>
      </rPr>
      <t>1-5</t>
    </r>
    <r>
      <rPr>
        <sz val="9"/>
        <color rgb="FF000000"/>
        <rFont val="微软雅黑"/>
        <family val="2"/>
        <charset val="134"/>
      </rPr>
      <t>月</t>
    </r>
  </si>
  <si>
    <r>
      <t>2025</t>
    </r>
    <r>
      <rPr>
        <sz val="9"/>
        <color rgb="FF000000"/>
        <rFont val="微软雅黑"/>
        <family val="2"/>
        <charset val="134"/>
      </rPr>
      <t>年</t>
    </r>
    <r>
      <rPr>
        <sz val="9"/>
        <color rgb="FF000000"/>
        <rFont val="Arial"/>
        <family val="2"/>
      </rPr>
      <t>1-5</t>
    </r>
    <r>
      <rPr>
        <sz val="9"/>
        <color rgb="FF000000"/>
        <rFont val="微软雅黑"/>
        <family val="2"/>
        <charset val="134"/>
      </rPr>
      <t>月</t>
    </r>
  </si>
  <si>
    <r>
      <t>2024</t>
    </r>
    <r>
      <rPr>
        <sz val="9"/>
        <color rgb="FF000000"/>
        <rFont val="微软雅黑"/>
        <family val="2"/>
        <charset val="134"/>
      </rPr>
      <t>年</t>
    </r>
    <r>
      <rPr>
        <sz val="9"/>
        <color rgb="FF000000"/>
        <rFont val="Arial"/>
        <family val="2"/>
      </rPr>
      <t>1-4</t>
    </r>
    <r>
      <rPr>
        <sz val="9"/>
        <color rgb="FF000000"/>
        <rFont val="微软雅黑"/>
        <family val="2"/>
        <charset val="134"/>
      </rPr>
      <t>月</t>
    </r>
  </si>
  <si>
    <r>
      <t>2025</t>
    </r>
    <r>
      <rPr>
        <sz val="9"/>
        <color rgb="FF000000"/>
        <rFont val="微软雅黑"/>
        <family val="2"/>
        <charset val="134"/>
      </rPr>
      <t>年</t>
    </r>
    <r>
      <rPr>
        <sz val="9"/>
        <color rgb="FF000000"/>
        <rFont val="Arial"/>
        <family val="2"/>
      </rPr>
      <t>1-4</t>
    </r>
    <r>
      <rPr>
        <sz val="9"/>
        <color rgb="FF000000"/>
        <rFont val="微软雅黑"/>
        <family val="2"/>
        <charset val="134"/>
      </rPr>
      <t>月</t>
    </r>
  </si>
  <si>
    <r>
      <t>2025</t>
    </r>
    <r>
      <rPr>
        <sz val="9"/>
        <color theme="1"/>
        <rFont val="微软雅黑"/>
        <family val="2"/>
        <charset val="134"/>
      </rPr>
      <t>年</t>
    </r>
    <r>
      <rPr>
        <sz val="9"/>
        <color theme="1"/>
        <rFont val="Arial"/>
        <family val="2"/>
      </rPr>
      <t>1-3</t>
    </r>
    <r>
      <rPr>
        <sz val="9"/>
        <color theme="1"/>
        <rFont val="微软雅黑"/>
        <family val="2"/>
        <charset val="134"/>
      </rPr>
      <t>月</t>
    </r>
  </si>
  <si>
    <r>
      <t>2025</t>
    </r>
    <r>
      <rPr>
        <sz val="9"/>
        <color theme="1"/>
        <rFont val="微软雅黑"/>
        <family val="2"/>
        <charset val="134"/>
      </rPr>
      <t>年</t>
    </r>
    <r>
      <rPr>
        <sz val="9"/>
        <color theme="1"/>
        <rFont val="Arial"/>
        <family val="2"/>
      </rPr>
      <t>1-2</t>
    </r>
    <r>
      <rPr>
        <sz val="9"/>
        <color theme="1"/>
        <rFont val="微软雅黑"/>
        <family val="2"/>
        <charset val="134"/>
      </rPr>
      <t>月</t>
    </r>
  </si>
  <si>
    <r>
      <rPr>
        <sz val="9"/>
        <rFont val="微软雅黑"/>
        <family val="2"/>
        <charset val="134"/>
      </rPr>
      <t>企业名称</t>
    </r>
  </si>
  <si>
    <r>
      <t>1</t>
    </r>
    <r>
      <rPr>
        <b/>
        <sz val="9"/>
        <color theme="0"/>
        <rFont val="微软雅黑"/>
        <family val="2"/>
        <charset val="134"/>
      </rPr>
      <t>月</t>
    </r>
    <phoneticPr fontId="14" type="noConversion"/>
  </si>
  <si>
    <r>
      <t>2</t>
    </r>
    <r>
      <rPr>
        <b/>
        <sz val="9"/>
        <color theme="0"/>
        <rFont val="微软雅黑"/>
        <family val="2"/>
        <charset val="134"/>
      </rPr>
      <t>月</t>
    </r>
    <r>
      <rPr>
        <b/>
        <sz val="11"/>
        <color theme="1"/>
        <rFont val="宋体"/>
        <family val="1"/>
        <charset val="134"/>
      </rPr>
      <t/>
    </r>
  </si>
  <si>
    <r>
      <t>3</t>
    </r>
    <r>
      <rPr>
        <b/>
        <sz val="9"/>
        <color theme="0"/>
        <rFont val="微软雅黑"/>
        <family val="2"/>
        <charset val="134"/>
      </rPr>
      <t>月</t>
    </r>
    <r>
      <rPr>
        <b/>
        <sz val="11"/>
        <color theme="1"/>
        <rFont val="宋体"/>
        <family val="1"/>
        <charset val="134"/>
      </rPr>
      <t/>
    </r>
  </si>
  <si>
    <r>
      <t>4</t>
    </r>
    <r>
      <rPr>
        <b/>
        <sz val="9"/>
        <color theme="0"/>
        <rFont val="微软雅黑"/>
        <family val="2"/>
        <charset val="134"/>
      </rPr>
      <t>月</t>
    </r>
    <r>
      <rPr>
        <b/>
        <sz val="11"/>
        <color theme="1"/>
        <rFont val="宋体"/>
        <family val="1"/>
        <charset val="134"/>
      </rPr>
      <t/>
    </r>
  </si>
  <si>
    <r>
      <t>5</t>
    </r>
    <r>
      <rPr>
        <b/>
        <sz val="9"/>
        <color theme="0"/>
        <rFont val="微软雅黑"/>
        <family val="2"/>
        <charset val="134"/>
      </rPr>
      <t>月</t>
    </r>
    <r>
      <rPr>
        <b/>
        <sz val="11"/>
        <color theme="1"/>
        <rFont val="宋体"/>
        <family val="1"/>
        <charset val="134"/>
      </rPr>
      <t/>
    </r>
  </si>
  <si>
    <r>
      <t>6</t>
    </r>
    <r>
      <rPr>
        <b/>
        <sz val="9"/>
        <color theme="0"/>
        <rFont val="微软雅黑"/>
        <family val="2"/>
        <charset val="134"/>
      </rPr>
      <t>月</t>
    </r>
    <r>
      <rPr>
        <b/>
        <sz val="11"/>
        <color theme="1"/>
        <rFont val="宋体"/>
        <family val="1"/>
        <charset val="134"/>
      </rPr>
      <t/>
    </r>
  </si>
  <si>
    <r>
      <t>7</t>
    </r>
    <r>
      <rPr>
        <b/>
        <sz val="9"/>
        <color theme="0"/>
        <rFont val="微软雅黑"/>
        <family val="2"/>
        <charset val="134"/>
      </rPr>
      <t>月</t>
    </r>
    <r>
      <rPr>
        <b/>
        <sz val="11"/>
        <color theme="1"/>
        <rFont val="宋体"/>
        <family val="1"/>
        <charset val="134"/>
      </rPr>
      <t/>
    </r>
  </si>
  <si>
    <r>
      <t>8</t>
    </r>
    <r>
      <rPr>
        <b/>
        <sz val="9"/>
        <color theme="0"/>
        <rFont val="微软雅黑"/>
        <family val="2"/>
        <charset val="134"/>
      </rPr>
      <t>月</t>
    </r>
    <r>
      <rPr>
        <b/>
        <sz val="11"/>
        <color theme="1"/>
        <rFont val="宋体"/>
        <family val="1"/>
        <charset val="134"/>
      </rPr>
      <t/>
    </r>
  </si>
  <si>
    <r>
      <t>9</t>
    </r>
    <r>
      <rPr>
        <b/>
        <sz val="9"/>
        <color theme="0"/>
        <rFont val="微软雅黑"/>
        <family val="2"/>
        <charset val="134"/>
      </rPr>
      <t>月</t>
    </r>
    <r>
      <rPr>
        <b/>
        <sz val="11"/>
        <color theme="1"/>
        <rFont val="宋体"/>
        <family val="1"/>
        <charset val="134"/>
      </rPr>
      <t/>
    </r>
  </si>
  <si>
    <r>
      <t>10</t>
    </r>
    <r>
      <rPr>
        <b/>
        <sz val="9"/>
        <color theme="0"/>
        <rFont val="微软雅黑"/>
        <family val="2"/>
        <charset val="134"/>
      </rPr>
      <t>月</t>
    </r>
    <r>
      <rPr>
        <b/>
        <sz val="11"/>
        <color theme="1"/>
        <rFont val="宋体"/>
        <family val="1"/>
        <charset val="134"/>
      </rPr>
      <t/>
    </r>
  </si>
  <si>
    <r>
      <t>11</t>
    </r>
    <r>
      <rPr>
        <b/>
        <sz val="9"/>
        <color theme="0"/>
        <rFont val="微软雅黑"/>
        <family val="2"/>
        <charset val="134"/>
      </rPr>
      <t>月</t>
    </r>
    <r>
      <rPr>
        <b/>
        <sz val="11"/>
        <color theme="1"/>
        <rFont val="宋体"/>
        <family val="1"/>
        <charset val="134"/>
      </rPr>
      <t/>
    </r>
  </si>
  <si>
    <r>
      <t>12</t>
    </r>
    <r>
      <rPr>
        <b/>
        <sz val="9"/>
        <color theme="0"/>
        <rFont val="微软雅黑"/>
        <family val="2"/>
        <charset val="134"/>
      </rPr>
      <t>月</t>
    </r>
    <r>
      <rPr>
        <b/>
        <sz val="11"/>
        <color theme="1"/>
        <rFont val="宋体"/>
        <family val="1"/>
        <charset val="134"/>
      </rPr>
      <t/>
    </r>
  </si>
  <si>
    <r>
      <rPr>
        <sz val="9"/>
        <color rgb="FF000000"/>
        <rFont val="微软雅黑"/>
        <family val="2"/>
        <charset val="134"/>
      </rPr>
      <t>特斯拉</t>
    </r>
  </si>
  <si>
    <r>
      <rPr>
        <sz val="9"/>
        <rFont val="微软雅黑"/>
        <family val="2"/>
        <charset val="134"/>
      </rPr>
      <t>海外</t>
    </r>
    <r>
      <rPr>
        <sz val="9"/>
        <rFont val="Arial"/>
        <family val="2"/>
      </rPr>
      <t>2025</t>
    </r>
    <r>
      <rPr>
        <sz val="9"/>
        <rFont val="微软雅黑"/>
        <family val="2"/>
        <charset val="134"/>
      </rPr>
      <t>年</t>
    </r>
    <r>
      <rPr>
        <sz val="9"/>
        <rFont val="Arial"/>
        <family val="2"/>
      </rPr>
      <t>11</t>
    </r>
    <r>
      <rPr>
        <sz val="9"/>
        <rFont val="微软雅黑"/>
        <family val="2"/>
        <charset val="134"/>
      </rPr>
      <t>月装机量企业排名</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</si>
  <si>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1-11</t>
    </r>
    <r>
      <rPr>
        <sz val="9"/>
        <rFont val="微软雅黑"/>
        <family val="2"/>
        <charset val="134"/>
      </rPr>
      <t>月装机量企业排名</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</si>
  <si>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10</t>
    </r>
    <r>
      <rPr>
        <sz val="9"/>
        <rFont val="微软雅黑"/>
        <family val="2"/>
        <charset val="134"/>
      </rPr>
      <t>月装机量企业排名</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</si>
  <si>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1-10</t>
    </r>
    <r>
      <rPr>
        <sz val="9"/>
        <rFont val="微软雅黑"/>
        <family val="2"/>
        <charset val="134"/>
      </rPr>
      <t>月装机量企业排名</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</si>
  <si>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</si>
  <si>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1-9</t>
    </r>
    <r>
      <rPr>
        <sz val="9"/>
        <rFont val="微软雅黑"/>
        <family val="2"/>
        <charset val="134"/>
      </rPr>
      <t>月装机量企业排名</t>
    </r>
  </si>
  <si>
    <r>
      <rPr>
        <sz val="9"/>
        <color rgb="FF000000"/>
        <rFont val="微软雅黑"/>
        <family val="2"/>
        <charset val="134"/>
      </rPr>
      <t>特斯拉</t>
    </r>
    <phoneticPr fontId="14" type="noConversion"/>
  </si>
  <si>
    <r>
      <rPr>
        <sz val="9"/>
        <color rgb="FF000000"/>
        <rFont val="微软雅黑"/>
        <family val="2"/>
        <charset val="134"/>
      </rPr>
      <t>国轩高科</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</si>
  <si>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</si>
  <si>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1-8</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</si>
  <si>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</si>
  <si>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1-7</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</si>
  <si>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</si>
  <si>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1-6</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</si>
  <si>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</si>
  <si>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1-5</t>
    </r>
    <r>
      <rPr>
        <sz val="9"/>
        <rFont val="微软雅黑"/>
        <family val="2"/>
        <charset val="134"/>
      </rPr>
      <t>月装机量企业排名</t>
    </r>
  </si>
  <si>
    <r>
      <rPr>
        <sz val="9"/>
        <color theme="1"/>
        <rFont val="微软雅黑"/>
        <family val="2"/>
        <charset val="134"/>
      </rPr>
      <t>特斯拉</t>
    </r>
  </si>
  <si>
    <r>
      <rPr>
        <sz val="9"/>
        <rFont val="微软雅黑"/>
        <family val="2"/>
        <charset val="134"/>
      </rPr>
      <t>海外</t>
    </r>
    <r>
      <rPr>
        <sz val="9"/>
        <rFont val="Arial"/>
        <family val="2"/>
      </rPr>
      <t>2025</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</si>
  <si>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1-4</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</si>
  <si>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</si>
  <si>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1-3</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</si>
  <si>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</si>
  <si>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</si>
  <si>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海外</t>
    </r>
    <r>
      <rPr>
        <sz val="9"/>
        <rFont val="Arial"/>
        <family val="2"/>
      </rPr>
      <t>2025</t>
    </r>
    <r>
      <rPr>
        <sz val="9"/>
        <rFont val="微软雅黑"/>
        <family val="2"/>
        <charset val="134"/>
      </rPr>
      <t>年</t>
    </r>
    <r>
      <rPr>
        <sz val="9"/>
        <rFont val="Arial"/>
        <family val="2"/>
      </rPr>
      <t>1</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</si>
  <si>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1-12</t>
    </r>
    <r>
      <rPr>
        <sz val="9"/>
        <rFont val="微软雅黑"/>
        <family val="2"/>
        <charset val="134"/>
      </rPr>
      <t>月装机量企业排名</t>
    </r>
  </si>
  <si>
    <r>
      <t>2024</t>
    </r>
    <r>
      <rPr>
        <sz val="9"/>
        <color theme="1"/>
        <rFont val="微软雅黑"/>
        <family val="2"/>
        <charset val="134"/>
      </rPr>
      <t>年</t>
    </r>
    <r>
      <rPr>
        <sz val="9"/>
        <color theme="1"/>
        <rFont val="Arial"/>
        <family val="2"/>
      </rPr>
      <t>1-12</t>
    </r>
    <r>
      <rPr>
        <sz val="9"/>
        <color theme="1"/>
        <rFont val="微软雅黑"/>
        <family val="2"/>
        <charset val="134"/>
      </rPr>
      <t>月</t>
    </r>
  </si>
  <si>
    <r>
      <rPr>
        <sz val="9"/>
        <rFont val="微软雅黑"/>
        <family val="2"/>
        <charset val="134"/>
      </rPr>
      <t>海外</t>
    </r>
    <r>
      <rPr>
        <sz val="9"/>
        <rFont val="Arial"/>
        <family val="2"/>
      </rPr>
      <t>2024</t>
    </r>
    <r>
      <rPr>
        <sz val="9"/>
        <rFont val="微软雅黑"/>
        <family val="2"/>
        <charset val="134"/>
      </rPr>
      <t>年</t>
    </r>
    <r>
      <rPr>
        <sz val="9"/>
        <rFont val="Arial"/>
        <family val="2"/>
      </rPr>
      <t>11</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</si>
  <si>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1-11</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</si>
  <si>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10</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</si>
  <si>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1-10</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</si>
  <si>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</si>
  <si>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1-9</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</si>
  <si>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</si>
  <si>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1-8</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</si>
  <si>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</si>
  <si>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1-7</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</si>
  <si>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</si>
  <si>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1-6</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</si>
  <si>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</si>
  <si>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1-5</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</si>
  <si>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</si>
  <si>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1-4</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</si>
  <si>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</si>
  <si>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1-3</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</si>
  <si>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</si>
  <si>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</si>
  <si>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海外</t>
    </r>
    <r>
      <rPr>
        <sz val="9"/>
        <rFont val="Arial"/>
        <family val="2"/>
      </rPr>
      <t>2024</t>
    </r>
    <r>
      <rPr>
        <sz val="9"/>
        <rFont val="微软雅黑"/>
        <family val="2"/>
        <charset val="134"/>
      </rPr>
      <t>年</t>
    </r>
    <r>
      <rPr>
        <sz val="9"/>
        <rFont val="Arial"/>
        <family val="2"/>
      </rPr>
      <t>1</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</si>
  <si>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12</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</si>
  <si>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1-12</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</si>
  <si>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11</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</si>
  <si>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1-11</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</si>
  <si>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10</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</si>
  <si>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1-10</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</si>
  <si>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9</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</si>
  <si>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1-9</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</si>
  <si>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8</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</si>
  <si>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1-8</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</si>
  <si>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7</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</si>
  <si>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1-7</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</si>
  <si>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7</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</si>
  <si>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6</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</si>
  <si>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1-6</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</si>
  <si>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6</t>
    </r>
    <r>
      <rPr>
        <sz val="9"/>
        <color theme="1"/>
        <rFont val="微软雅黑"/>
        <family val="2"/>
        <charset val="134"/>
      </rPr>
      <t>月</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</si>
  <si>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6</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</si>
  <si>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5</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</si>
  <si>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1-5</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</si>
  <si>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5</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</si>
  <si>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4</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</si>
  <si>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1-4</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</si>
  <si>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4</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</si>
  <si>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3</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</si>
  <si>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1-3</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</si>
  <si>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3</t>
    </r>
    <r>
      <rPr>
        <sz val="9"/>
        <color theme="1"/>
        <rFont val="微软雅黑"/>
        <family val="2"/>
        <charset val="134"/>
      </rPr>
      <t>月</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</si>
  <si>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3</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</si>
  <si>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2</t>
    </r>
    <r>
      <rPr>
        <sz val="9"/>
        <rFont val="微软雅黑"/>
        <family val="2"/>
        <charset val="134"/>
      </rPr>
      <t>月装机量企业排名</t>
    </r>
  </si>
  <si>
    <r>
      <rPr>
        <sz val="9"/>
        <rFont val="微软雅黑"/>
        <family val="2"/>
        <charset val="134"/>
      </rPr>
      <t>海外</t>
    </r>
    <r>
      <rPr>
        <sz val="9"/>
        <rFont val="Arial"/>
        <family val="2"/>
      </rPr>
      <t>2023</t>
    </r>
    <r>
      <rPr>
        <sz val="9"/>
        <rFont val="微软雅黑"/>
        <family val="2"/>
        <charset val="134"/>
      </rPr>
      <t>年</t>
    </r>
    <r>
      <rPr>
        <sz val="9"/>
        <rFont val="Arial"/>
        <family val="2"/>
      </rPr>
      <t>1-2</t>
    </r>
    <r>
      <rPr>
        <sz val="9"/>
        <rFont val="微软雅黑"/>
        <family val="2"/>
        <charset val="134"/>
      </rPr>
      <t>月装机量企业排名</t>
    </r>
  </si>
  <si>
    <r>
      <t>2023</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2</t>
    </r>
    <r>
      <rPr>
        <sz val="9"/>
        <color theme="1"/>
        <rFont val="微软雅黑"/>
        <family val="2"/>
        <charset val="134"/>
      </rPr>
      <t>月</t>
    </r>
  </si>
  <si>
    <r>
      <t>2022</t>
    </r>
    <r>
      <rPr>
        <sz val="9"/>
        <color theme="1"/>
        <rFont val="微软雅黑"/>
        <family val="2"/>
        <charset val="134"/>
      </rPr>
      <t>年</t>
    </r>
    <r>
      <rPr>
        <sz val="9"/>
        <color theme="1"/>
        <rFont val="Arial"/>
        <family val="2"/>
      </rPr>
      <t>1</t>
    </r>
    <r>
      <rPr>
        <sz val="9"/>
        <color theme="1"/>
        <rFont val="微软雅黑"/>
        <family val="2"/>
        <charset val="134"/>
      </rPr>
      <t>月至</t>
    </r>
    <r>
      <rPr>
        <sz val="9"/>
        <color theme="1"/>
        <rFont val="Arial"/>
        <family val="2"/>
      </rPr>
      <t>2</t>
    </r>
    <r>
      <rPr>
        <sz val="9"/>
        <color theme="1"/>
        <rFont val="微软雅黑"/>
        <family val="2"/>
        <charset val="134"/>
      </rPr>
      <t>月</t>
    </r>
  </si>
  <si>
    <r>
      <rPr>
        <sz val="9"/>
        <rFont val="微软雅黑"/>
        <family val="2"/>
        <charset val="134"/>
      </rPr>
      <t>海外</t>
    </r>
    <r>
      <rPr>
        <sz val="9"/>
        <rFont val="Arial"/>
        <family val="2"/>
      </rPr>
      <t>2023</t>
    </r>
    <r>
      <rPr>
        <sz val="9"/>
        <rFont val="微软雅黑"/>
        <family val="2"/>
        <charset val="134"/>
      </rPr>
      <t>年</t>
    </r>
    <r>
      <rPr>
        <sz val="9"/>
        <rFont val="Arial"/>
        <family val="2"/>
      </rPr>
      <t>1</t>
    </r>
    <r>
      <rPr>
        <sz val="9"/>
        <rFont val="微软雅黑"/>
        <family val="2"/>
        <charset val="134"/>
      </rPr>
      <t>月装机量企业排名</t>
    </r>
  </si>
  <si>
    <t>吉曜通行</t>
  </si>
  <si>
    <r>
      <rPr>
        <b/>
        <sz val="9"/>
        <color theme="1"/>
        <rFont val="微软雅黑"/>
        <family val="2"/>
        <charset val="134"/>
      </rPr>
      <t>中国动力电池行业装机规模</t>
    </r>
  </si>
  <si>
    <r>
      <rPr>
        <b/>
        <sz val="9"/>
        <color theme="1"/>
        <rFont val="微软雅黑"/>
        <family val="2"/>
        <charset val="134"/>
      </rPr>
      <t>中国动力电池行业产量规模</t>
    </r>
  </si>
  <si>
    <r>
      <rPr>
        <sz val="9"/>
        <color rgb="FFFF0000"/>
        <rFont val="微软雅黑"/>
        <family val="2"/>
        <charset val="134"/>
      </rPr>
      <t>注：自</t>
    </r>
    <r>
      <rPr>
        <sz val="9"/>
        <color rgb="FFFF0000"/>
        <rFont val="Arial"/>
        <family val="2"/>
      </rPr>
      <t>2023</t>
    </r>
    <r>
      <rPr>
        <sz val="9"/>
        <color rgb="FFFF0000"/>
        <rFont val="微软雅黑"/>
        <family val="2"/>
        <charset val="134"/>
      </rPr>
      <t>年</t>
    </r>
    <r>
      <rPr>
        <sz val="9"/>
        <color rgb="FFFF0000"/>
        <rFont val="Arial"/>
        <family val="2"/>
      </rPr>
      <t>8</t>
    </r>
    <r>
      <rPr>
        <sz val="9"/>
        <color rgb="FFFF0000"/>
        <rFont val="微软雅黑"/>
        <family val="2"/>
        <charset val="134"/>
      </rPr>
      <t>月起动力和储能电池产量合并统计</t>
    </r>
    <phoneticPr fontId="14" type="noConversion"/>
  </si>
  <si>
    <t>同比</t>
    <phoneticPr fontId="14" type="noConversion"/>
  </si>
  <si>
    <r>
      <t>2022</t>
    </r>
    <r>
      <rPr>
        <b/>
        <sz val="9"/>
        <color theme="0"/>
        <rFont val="微软雅黑"/>
        <family val="2"/>
        <charset val="134"/>
      </rPr>
      <t>年</t>
    </r>
  </si>
  <si>
    <r>
      <rPr>
        <sz val="8"/>
        <color theme="1"/>
        <rFont val="微软雅黑"/>
        <family val="2"/>
        <charset val="134"/>
      </rPr>
      <t>数据来源：动力电池联盟</t>
    </r>
    <r>
      <rPr>
        <sz val="8"/>
        <color theme="1"/>
        <rFont val="Arial"/>
        <family val="2"/>
      </rPr>
      <t xml:space="preserve">     </t>
    </r>
    <r>
      <rPr>
        <sz val="8"/>
        <color theme="1"/>
        <rFont val="微软雅黑"/>
        <family val="2"/>
        <charset val="134"/>
      </rPr>
      <t>单位：</t>
    </r>
    <r>
      <rPr>
        <sz val="8"/>
        <color theme="1"/>
        <rFont val="Arial"/>
        <family val="2"/>
      </rPr>
      <t>GWh</t>
    </r>
    <phoneticPr fontId="14" type="noConversion"/>
  </si>
  <si>
    <r>
      <rPr>
        <sz val="9"/>
        <color theme="1"/>
        <rFont val="微软雅黑"/>
        <family val="2"/>
        <charset val="134"/>
      </rPr>
      <t>同比</t>
    </r>
    <phoneticPr fontId="14" type="noConversion"/>
  </si>
  <si>
    <r>
      <rPr>
        <sz val="9"/>
        <color theme="1"/>
        <rFont val="微软雅黑"/>
        <family val="2"/>
        <charset val="134"/>
      </rPr>
      <t>其中：三元</t>
    </r>
    <phoneticPr fontId="14" type="noConversion"/>
  </si>
  <si>
    <r>
      <rPr>
        <sz val="9"/>
        <color theme="1"/>
        <rFont val="微软雅黑"/>
        <family val="2"/>
        <charset val="134"/>
      </rPr>
      <t>其他</t>
    </r>
    <phoneticPr fontId="14" type="noConversion"/>
  </si>
  <si>
    <r>
      <rPr>
        <b/>
        <sz val="9"/>
        <color theme="0"/>
        <rFont val="微软雅黑"/>
        <family val="2"/>
        <charset val="134"/>
      </rPr>
      <t>动力和储能电池合计产量</t>
    </r>
    <phoneticPr fontId="14" type="noConversion"/>
  </si>
  <si>
    <t>铁锂</t>
    <phoneticPr fontId="14" type="noConversion"/>
  </si>
  <si>
    <r>
      <rPr>
        <sz val="8"/>
        <color theme="1"/>
        <rFont val="微软雅黑"/>
        <family val="2"/>
        <charset val="134"/>
      </rPr>
      <t>单位：</t>
    </r>
    <r>
      <rPr>
        <sz val="8"/>
        <color theme="1"/>
        <rFont val="Arial"/>
        <family val="2"/>
      </rPr>
      <t>kWh</t>
    </r>
    <phoneticPr fontId="14" type="noConversion"/>
  </si>
  <si>
    <r>
      <rPr>
        <sz val="8"/>
        <rFont val="微软雅黑"/>
        <family val="2"/>
        <charset val="134"/>
      </rPr>
      <t>纯电动客车</t>
    </r>
  </si>
  <si>
    <r>
      <rPr>
        <sz val="8"/>
        <rFont val="微软雅黑"/>
        <family val="2"/>
        <charset val="134"/>
      </rPr>
      <t>燃料电池客车</t>
    </r>
  </si>
  <si>
    <r>
      <rPr>
        <sz val="8"/>
        <rFont val="微软雅黑"/>
        <family val="2"/>
        <charset val="134"/>
      </rPr>
      <t>燃料电池专用车</t>
    </r>
  </si>
  <si>
    <r>
      <rPr>
        <sz val="8"/>
        <rFont val="微软雅黑"/>
        <family val="2"/>
        <charset val="134"/>
      </rPr>
      <t>纯电动专用车</t>
    </r>
  </si>
  <si>
    <r>
      <rPr>
        <sz val="8"/>
        <rFont val="微软雅黑"/>
        <family val="2"/>
        <charset val="134"/>
      </rPr>
      <t>纯电动乘用车</t>
    </r>
  </si>
  <si>
    <r>
      <rPr>
        <sz val="8"/>
        <rFont val="微软雅黑"/>
        <family val="2"/>
        <charset val="134"/>
      </rPr>
      <t>插混客车</t>
    </r>
  </si>
  <si>
    <r>
      <rPr>
        <sz val="8"/>
        <rFont val="微软雅黑"/>
        <family val="2"/>
        <charset val="134"/>
      </rPr>
      <t>插混专用车</t>
    </r>
  </si>
  <si>
    <r>
      <rPr>
        <sz val="8"/>
        <rFont val="微软雅黑"/>
        <family val="2"/>
        <charset val="134"/>
      </rPr>
      <t>插混乘用车</t>
    </r>
  </si>
  <si>
    <r>
      <t>1</t>
    </r>
    <r>
      <rPr>
        <b/>
        <sz val="8"/>
        <color theme="0"/>
        <rFont val="微软雅黑"/>
        <family val="2"/>
        <charset val="134"/>
      </rPr>
      <t>月平均带电量</t>
    </r>
    <phoneticPr fontId="14" type="noConversion"/>
  </si>
  <si>
    <r>
      <rPr>
        <b/>
        <sz val="8"/>
        <color theme="0"/>
        <rFont val="微软雅黑"/>
        <family val="2"/>
        <charset val="134"/>
      </rPr>
      <t>前</t>
    </r>
    <r>
      <rPr>
        <b/>
        <sz val="8"/>
        <color theme="0"/>
        <rFont val="Arial"/>
        <family val="2"/>
      </rPr>
      <t>2</t>
    </r>
    <r>
      <rPr>
        <b/>
        <sz val="8"/>
        <color theme="0"/>
        <rFont val="微软雅黑"/>
        <family val="2"/>
        <charset val="134"/>
      </rPr>
      <t>月平均带电量</t>
    </r>
    <phoneticPr fontId="14" type="noConversion"/>
  </si>
  <si>
    <r>
      <rPr>
        <b/>
        <sz val="8"/>
        <color theme="0"/>
        <rFont val="微软雅黑"/>
        <family val="2"/>
        <charset val="134"/>
      </rPr>
      <t>前</t>
    </r>
    <r>
      <rPr>
        <b/>
        <sz val="8"/>
        <color theme="0"/>
        <rFont val="Arial"/>
        <family val="2"/>
      </rPr>
      <t>3</t>
    </r>
    <r>
      <rPr>
        <b/>
        <sz val="8"/>
        <color theme="0"/>
        <rFont val="微软雅黑"/>
        <family val="2"/>
        <charset val="134"/>
      </rPr>
      <t>月平均带电量</t>
    </r>
    <phoneticPr fontId="14" type="noConversion"/>
  </si>
  <si>
    <r>
      <rPr>
        <b/>
        <sz val="8"/>
        <color theme="0"/>
        <rFont val="微软雅黑"/>
        <family val="2"/>
        <charset val="134"/>
      </rPr>
      <t>前</t>
    </r>
    <r>
      <rPr>
        <b/>
        <sz val="8"/>
        <color theme="0"/>
        <rFont val="Arial"/>
        <family val="2"/>
      </rPr>
      <t>4</t>
    </r>
    <r>
      <rPr>
        <b/>
        <sz val="8"/>
        <color theme="0"/>
        <rFont val="微软雅黑"/>
        <family val="2"/>
        <charset val="134"/>
      </rPr>
      <t>月平均带电量</t>
    </r>
  </si>
  <si>
    <r>
      <rPr>
        <b/>
        <sz val="8"/>
        <color theme="0"/>
        <rFont val="微软雅黑"/>
        <family val="2"/>
        <charset val="134"/>
      </rPr>
      <t>前</t>
    </r>
    <r>
      <rPr>
        <b/>
        <sz val="8"/>
        <color theme="0"/>
        <rFont val="Arial"/>
        <family val="2"/>
      </rPr>
      <t>5</t>
    </r>
    <r>
      <rPr>
        <b/>
        <sz val="8"/>
        <color theme="0"/>
        <rFont val="微软雅黑"/>
        <family val="2"/>
        <charset val="134"/>
      </rPr>
      <t>月平均带电量</t>
    </r>
  </si>
  <si>
    <r>
      <rPr>
        <b/>
        <sz val="8"/>
        <color theme="0"/>
        <rFont val="微软雅黑"/>
        <family val="2"/>
        <charset val="134"/>
      </rPr>
      <t>前</t>
    </r>
    <r>
      <rPr>
        <b/>
        <sz val="8"/>
        <color theme="0"/>
        <rFont val="Arial"/>
        <family val="2"/>
      </rPr>
      <t>6</t>
    </r>
    <r>
      <rPr>
        <b/>
        <sz val="8"/>
        <color theme="0"/>
        <rFont val="微软雅黑"/>
        <family val="2"/>
        <charset val="134"/>
      </rPr>
      <t>月平均带电量</t>
    </r>
  </si>
  <si>
    <r>
      <rPr>
        <b/>
        <sz val="8"/>
        <color theme="0"/>
        <rFont val="微软雅黑"/>
        <family val="2"/>
        <charset val="134"/>
      </rPr>
      <t>前</t>
    </r>
    <r>
      <rPr>
        <b/>
        <sz val="8"/>
        <color theme="0"/>
        <rFont val="Arial"/>
        <family val="2"/>
      </rPr>
      <t>7</t>
    </r>
    <r>
      <rPr>
        <b/>
        <sz val="8"/>
        <color theme="0"/>
        <rFont val="微软雅黑"/>
        <family val="2"/>
        <charset val="134"/>
      </rPr>
      <t>月平均带电量</t>
    </r>
  </si>
  <si>
    <r>
      <rPr>
        <b/>
        <sz val="8"/>
        <color theme="0"/>
        <rFont val="微软雅黑"/>
        <family val="2"/>
        <charset val="134"/>
      </rPr>
      <t>前</t>
    </r>
    <r>
      <rPr>
        <b/>
        <sz val="8"/>
        <color theme="0"/>
        <rFont val="Arial"/>
        <family val="2"/>
      </rPr>
      <t>8</t>
    </r>
    <r>
      <rPr>
        <b/>
        <sz val="8"/>
        <color theme="0"/>
        <rFont val="微软雅黑"/>
        <family val="2"/>
        <charset val="134"/>
      </rPr>
      <t>月平均带电量</t>
    </r>
  </si>
  <si>
    <r>
      <rPr>
        <b/>
        <sz val="8"/>
        <color theme="0"/>
        <rFont val="微软雅黑"/>
        <family val="2"/>
        <charset val="134"/>
      </rPr>
      <t>前</t>
    </r>
    <r>
      <rPr>
        <b/>
        <sz val="8"/>
        <color theme="0"/>
        <rFont val="Arial"/>
        <family val="2"/>
      </rPr>
      <t>9</t>
    </r>
    <r>
      <rPr>
        <b/>
        <sz val="8"/>
        <color theme="0"/>
        <rFont val="微软雅黑"/>
        <family val="2"/>
        <charset val="134"/>
      </rPr>
      <t>月平均带电量</t>
    </r>
  </si>
  <si>
    <r>
      <rPr>
        <b/>
        <sz val="8"/>
        <color theme="0"/>
        <rFont val="微软雅黑"/>
        <family val="2"/>
        <charset val="134"/>
      </rPr>
      <t>前</t>
    </r>
    <r>
      <rPr>
        <b/>
        <sz val="8"/>
        <color theme="0"/>
        <rFont val="Arial"/>
        <family val="2"/>
      </rPr>
      <t>10</t>
    </r>
    <r>
      <rPr>
        <b/>
        <sz val="8"/>
        <color theme="0"/>
        <rFont val="微软雅黑"/>
        <family val="2"/>
        <charset val="134"/>
      </rPr>
      <t>月平均带电量</t>
    </r>
  </si>
  <si>
    <r>
      <rPr>
        <b/>
        <sz val="8"/>
        <color theme="0"/>
        <rFont val="微软雅黑"/>
        <family val="2"/>
        <charset val="134"/>
      </rPr>
      <t>前</t>
    </r>
    <r>
      <rPr>
        <b/>
        <sz val="8"/>
        <color theme="0"/>
        <rFont val="Arial"/>
        <family val="2"/>
      </rPr>
      <t>11</t>
    </r>
    <r>
      <rPr>
        <b/>
        <sz val="8"/>
        <color theme="0"/>
        <rFont val="微软雅黑"/>
        <family val="2"/>
        <charset val="134"/>
      </rPr>
      <t>月平均带电量</t>
    </r>
  </si>
  <si>
    <r>
      <rPr>
        <b/>
        <sz val="8"/>
        <color theme="0"/>
        <rFont val="微软雅黑"/>
        <family val="2"/>
        <charset val="134"/>
      </rPr>
      <t>前</t>
    </r>
    <r>
      <rPr>
        <b/>
        <sz val="8"/>
        <color theme="0"/>
        <rFont val="Arial"/>
        <family val="2"/>
      </rPr>
      <t>12</t>
    </r>
    <r>
      <rPr>
        <b/>
        <sz val="8"/>
        <color theme="0"/>
        <rFont val="微软雅黑"/>
        <family val="2"/>
        <charset val="134"/>
      </rPr>
      <t>月平均带电量</t>
    </r>
  </si>
  <si>
    <r>
      <rPr>
        <sz val="9"/>
        <color theme="1"/>
        <rFont val="微软雅黑"/>
        <family val="2"/>
        <charset val="134"/>
      </rPr>
      <t>其他</t>
    </r>
    <phoneticPr fontId="14" type="noConversion"/>
  </si>
  <si>
    <r>
      <rPr>
        <sz val="8"/>
        <rFont val="微软雅黑"/>
        <family val="2"/>
        <charset val="134"/>
      </rPr>
      <t>数据来源：</t>
    </r>
    <r>
      <rPr>
        <sz val="8"/>
        <rFont val="Arial"/>
        <family val="2"/>
      </rPr>
      <t>SNE Research</t>
    </r>
  </si>
  <si>
    <r>
      <t>2018</t>
    </r>
    <r>
      <rPr>
        <b/>
        <sz val="8"/>
        <color theme="0"/>
        <rFont val="微软雅黑"/>
        <family val="2"/>
        <charset val="134"/>
      </rPr>
      <t>年</t>
    </r>
    <phoneticPr fontId="14" type="noConversion"/>
  </si>
  <si>
    <r>
      <rPr>
        <sz val="8"/>
        <color theme="1"/>
        <rFont val="微软雅黑"/>
        <family val="2"/>
        <charset val="134"/>
      </rPr>
      <t>企业</t>
    </r>
    <phoneticPr fontId="14" type="noConversion"/>
  </si>
  <si>
    <r>
      <rPr>
        <sz val="8"/>
        <color theme="1"/>
        <rFont val="微软雅黑"/>
        <family val="2"/>
        <charset val="134"/>
      </rPr>
      <t>份额</t>
    </r>
    <phoneticPr fontId="14" type="noConversion"/>
  </si>
  <si>
    <r>
      <rPr>
        <sz val="8"/>
        <color theme="1"/>
        <rFont val="微软雅黑"/>
        <family val="2"/>
        <charset val="134"/>
      </rPr>
      <t>松下</t>
    </r>
  </si>
  <si>
    <r>
      <t>LG</t>
    </r>
    <r>
      <rPr>
        <sz val="8"/>
        <color theme="1"/>
        <rFont val="微软雅黑"/>
        <family val="2"/>
        <charset val="134"/>
      </rPr>
      <t>化学</t>
    </r>
  </si>
  <si>
    <r>
      <rPr>
        <sz val="8"/>
        <color theme="1"/>
        <rFont val="微软雅黑"/>
        <family val="2"/>
        <charset val="134"/>
      </rPr>
      <t>比亚迪</t>
    </r>
  </si>
  <si>
    <r>
      <rPr>
        <sz val="8"/>
        <color theme="1"/>
        <rFont val="微软雅黑"/>
        <family val="2"/>
        <charset val="134"/>
      </rPr>
      <t>三星</t>
    </r>
    <r>
      <rPr>
        <sz val="8"/>
        <color theme="1"/>
        <rFont val="Arial"/>
        <family val="2"/>
      </rPr>
      <t>SDI</t>
    </r>
  </si>
  <si>
    <r>
      <rPr>
        <sz val="8"/>
        <color theme="1"/>
        <rFont val="微软雅黑"/>
        <family val="2"/>
        <charset val="134"/>
      </rPr>
      <t>国轩高科</t>
    </r>
  </si>
  <si>
    <r>
      <rPr>
        <sz val="8"/>
        <color theme="1"/>
        <rFont val="微软雅黑"/>
        <family val="2"/>
        <charset val="134"/>
      </rPr>
      <t>力神</t>
    </r>
  </si>
  <si>
    <r>
      <rPr>
        <sz val="8"/>
        <color theme="1"/>
        <rFont val="微软雅黑"/>
        <family val="2"/>
        <charset val="134"/>
      </rPr>
      <t>其他</t>
    </r>
  </si>
  <si>
    <r>
      <rPr>
        <sz val="8"/>
        <color theme="1"/>
        <rFont val="微软雅黑"/>
        <family val="2"/>
        <charset val="134"/>
      </rPr>
      <t>合计</t>
    </r>
    <phoneticPr fontId="14" type="noConversion"/>
  </si>
  <si>
    <r>
      <t>2019</t>
    </r>
    <r>
      <rPr>
        <b/>
        <sz val="8"/>
        <color theme="0"/>
        <rFont val="微软雅黑"/>
        <family val="2"/>
        <charset val="134"/>
      </rPr>
      <t>年</t>
    </r>
    <phoneticPr fontId="14" type="noConversion"/>
  </si>
  <si>
    <r>
      <t>2020</t>
    </r>
    <r>
      <rPr>
        <b/>
        <sz val="8"/>
        <color theme="0"/>
        <rFont val="微软雅黑"/>
        <family val="2"/>
        <charset val="134"/>
      </rPr>
      <t>年</t>
    </r>
  </si>
  <si>
    <r>
      <t>2021</t>
    </r>
    <r>
      <rPr>
        <b/>
        <sz val="8"/>
        <color theme="0"/>
        <rFont val="微软雅黑"/>
        <family val="2"/>
        <charset val="134"/>
      </rPr>
      <t>年</t>
    </r>
  </si>
  <si>
    <r>
      <t>2022</t>
    </r>
    <r>
      <rPr>
        <b/>
        <sz val="8"/>
        <color theme="0"/>
        <rFont val="微软雅黑"/>
        <family val="2"/>
        <charset val="134"/>
      </rPr>
      <t>年</t>
    </r>
  </si>
  <si>
    <r>
      <t>2023</t>
    </r>
    <r>
      <rPr>
        <b/>
        <sz val="8"/>
        <color theme="0"/>
        <rFont val="微软雅黑"/>
        <family val="2"/>
        <charset val="134"/>
      </rPr>
      <t>年</t>
    </r>
  </si>
  <si>
    <r>
      <t>2024</t>
    </r>
    <r>
      <rPr>
        <b/>
        <sz val="8"/>
        <color theme="0"/>
        <rFont val="微软雅黑"/>
        <family val="2"/>
        <charset val="134"/>
      </rPr>
      <t>年</t>
    </r>
  </si>
  <si>
    <r>
      <rPr>
        <sz val="8"/>
        <color theme="1"/>
        <rFont val="微软雅黑"/>
        <family val="2"/>
        <charset val="134"/>
      </rPr>
      <t>排名</t>
    </r>
    <phoneticPr fontId="14" type="noConversion"/>
  </si>
  <si>
    <r>
      <rPr>
        <sz val="8"/>
        <color theme="1"/>
        <rFont val="微软雅黑"/>
        <family val="2"/>
        <charset val="134"/>
      </rPr>
      <t>宁德时代</t>
    </r>
  </si>
  <si>
    <r>
      <t>LG</t>
    </r>
    <r>
      <rPr>
        <sz val="8"/>
        <color theme="1"/>
        <rFont val="微软雅黑"/>
        <family val="2"/>
        <charset val="134"/>
      </rPr>
      <t>新能源</t>
    </r>
  </si>
  <si>
    <r>
      <rPr>
        <sz val="8"/>
        <color theme="1"/>
        <rFont val="微软雅黑"/>
        <family val="2"/>
        <charset val="134"/>
      </rPr>
      <t>中创新航</t>
    </r>
  </si>
  <si>
    <r>
      <rPr>
        <sz val="8"/>
        <color theme="1"/>
        <rFont val="微软雅黑"/>
        <family val="2"/>
        <charset val="134"/>
      </rPr>
      <t>中航锂电</t>
    </r>
  </si>
  <si>
    <r>
      <rPr>
        <sz val="8"/>
        <color theme="1"/>
        <rFont val="微软雅黑"/>
        <family val="2"/>
        <charset val="134"/>
      </rPr>
      <t>欣旺达</t>
    </r>
  </si>
  <si>
    <r>
      <rPr>
        <sz val="8"/>
        <color theme="1"/>
        <rFont val="微软雅黑"/>
        <family val="2"/>
        <charset val="134"/>
      </rPr>
      <t>亿纬锂能</t>
    </r>
  </si>
  <si>
    <r>
      <rPr>
        <sz val="8"/>
        <color theme="1"/>
        <rFont val="微软雅黑"/>
        <family val="2"/>
        <charset val="134"/>
      </rPr>
      <t>孚能科技</t>
    </r>
  </si>
  <si>
    <r>
      <rPr>
        <sz val="8"/>
        <color theme="1"/>
        <rFont val="微软雅黑"/>
        <family val="2"/>
        <charset val="134"/>
      </rPr>
      <t>其它</t>
    </r>
  </si>
  <si>
    <r>
      <rPr>
        <sz val="8"/>
        <rFont val="微软雅黑"/>
        <family val="2"/>
        <charset val="134"/>
      </rPr>
      <t>数据来源：动力电池联盟</t>
    </r>
    <phoneticPr fontId="14" type="noConversion"/>
  </si>
  <si>
    <r>
      <t>2025</t>
    </r>
    <r>
      <rPr>
        <b/>
        <sz val="8"/>
        <color theme="0"/>
        <rFont val="微软雅黑"/>
        <family val="2"/>
        <charset val="134"/>
      </rPr>
      <t>年</t>
    </r>
    <phoneticPr fontId="14" type="noConversion"/>
  </si>
  <si>
    <r>
      <rPr>
        <sz val="10"/>
        <color theme="1"/>
        <rFont val="楷体_GB2312"/>
        <family val="3"/>
        <charset val="134"/>
      </rPr>
      <t>电话：</t>
    </r>
  </si>
  <si>
    <r>
      <rPr>
        <sz val="10"/>
        <color theme="1"/>
        <rFont val="楷体_GB2312"/>
        <family val="3"/>
        <charset val="134"/>
      </rPr>
      <t>邮箱：</t>
    </r>
  </si>
  <si>
    <r>
      <rPr>
        <sz val="10"/>
        <color theme="1"/>
        <rFont val="楷体_GB2312"/>
        <family val="3"/>
        <charset val="134"/>
      </rPr>
      <t>证书编号：</t>
    </r>
  </si>
  <si>
    <r>
      <t>SNE</t>
    </r>
    <r>
      <rPr>
        <sz val="11"/>
        <color theme="4" tint="-0.249977111117893"/>
        <rFont val="楷体_GB2312"/>
        <family val="3"/>
        <charset val="134"/>
      </rPr>
      <t>、动力电池联盟</t>
    </r>
    <phoneticPr fontId="14" type="noConversion"/>
  </si>
  <si>
    <t>全球&amp;中国动力电池年度装机规模</t>
  </si>
  <si>
    <t>SNE</t>
    <phoneticPr fontId="14" type="noConversion"/>
  </si>
  <si>
    <t>全球&amp;中国动力电池月度装机规模</t>
  </si>
  <si>
    <t>全球动力电池企业装机量月度排名</t>
  </si>
  <si>
    <t>海外动力电池企业装机量月度排名</t>
  </si>
  <si>
    <t>中国动力电池企业装机量月度排名</t>
  </si>
  <si>
    <t>中国新能源单车平均带电量</t>
  </si>
  <si>
    <t>全球&amp;中国动力电池企业装机量年度排名</t>
  </si>
  <si>
    <r>
      <rPr>
        <b/>
        <sz val="9"/>
        <color theme="0"/>
        <rFont val="微软雅黑"/>
        <family val="2"/>
        <charset val="134"/>
      </rPr>
      <t>全球</t>
    </r>
    <r>
      <rPr>
        <b/>
        <sz val="9"/>
        <color theme="0"/>
        <rFont val="等线"/>
        <family val="2"/>
        <charset val="134"/>
      </rPr>
      <t>（</t>
    </r>
    <r>
      <rPr>
        <b/>
        <sz val="9"/>
        <color theme="0"/>
        <rFont val="Arial"/>
        <family val="2"/>
      </rPr>
      <t>GWh</t>
    </r>
    <r>
      <rPr>
        <b/>
        <sz val="9"/>
        <color theme="0"/>
        <rFont val="等线"/>
        <family val="2"/>
        <charset val="134"/>
      </rPr>
      <t>）</t>
    </r>
    <phoneticPr fontId="14" type="noConversion"/>
  </si>
  <si>
    <r>
      <rPr>
        <b/>
        <sz val="9"/>
        <color theme="0"/>
        <rFont val="微软雅黑"/>
        <family val="2"/>
        <charset val="134"/>
      </rPr>
      <t>中国</t>
    </r>
    <r>
      <rPr>
        <b/>
        <sz val="9"/>
        <color theme="0"/>
        <rFont val="等线"/>
        <family val="2"/>
        <charset val="134"/>
      </rPr>
      <t>（</t>
    </r>
    <r>
      <rPr>
        <b/>
        <sz val="9"/>
        <color theme="0"/>
        <rFont val="Arial"/>
        <family val="2"/>
      </rPr>
      <t>GWh</t>
    </r>
    <r>
      <rPr>
        <b/>
        <sz val="9"/>
        <color theme="0"/>
        <rFont val="等线"/>
        <family val="2"/>
        <charset val="134"/>
      </rPr>
      <t>）</t>
    </r>
    <phoneticPr fontId="14" type="noConversion"/>
  </si>
  <si>
    <r>
      <rPr>
        <b/>
        <sz val="9"/>
        <color theme="0"/>
        <rFont val="微软雅黑"/>
        <family val="2"/>
        <charset val="134"/>
      </rPr>
      <t>其中：三元</t>
    </r>
    <r>
      <rPr>
        <b/>
        <sz val="9"/>
        <color theme="0"/>
        <rFont val="等线"/>
        <family val="2"/>
        <charset val="134"/>
      </rPr>
      <t>（</t>
    </r>
    <r>
      <rPr>
        <b/>
        <sz val="9"/>
        <color theme="0"/>
        <rFont val="Arial"/>
        <family val="2"/>
      </rPr>
      <t>GWh</t>
    </r>
    <r>
      <rPr>
        <b/>
        <sz val="9"/>
        <color theme="0"/>
        <rFont val="等线"/>
        <family val="2"/>
        <charset val="134"/>
      </rPr>
      <t>）</t>
    </r>
    <phoneticPr fontId="14" type="noConversion"/>
  </si>
  <si>
    <r>
      <rPr>
        <b/>
        <sz val="9"/>
        <color theme="0"/>
        <rFont val="微软雅黑"/>
        <family val="2"/>
        <charset val="134"/>
      </rPr>
      <t>其中：铁锂</t>
    </r>
    <r>
      <rPr>
        <b/>
        <sz val="9"/>
        <color theme="0"/>
        <rFont val="等线"/>
        <family val="2"/>
        <charset val="134"/>
      </rPr>
      <t>（</t>
    </r>
    <r>
      <rPr>
        <b/>
        <sz val="9"/>
        <color theme="0"/>
        <rFont val="Arial"/>
        <family val="2"/>
      </rPr>
      <t>GWh</t>
    </r>
    <r>
      <rPr>
        <b/>
        <sz val="9"/>
        <color theme="0"/>
        <rFont val="等线"/>
        <family val="2"/>
        <charset val="134"/>
      </rPr>
      <t>）</t>
    </r>
    <phoneticPr fontId="14" type="noConversion"/>
  </si>
  <si>
    <r>
      <rPr>
        <b/>
        <sz val="9"/>
        <color theme="0"/>
        <rFont val="微软雅黑"/>
        <family val="2"/>
        <charset val="134"/>
      </rPr>
      <t>全球动力电池装机规模</t>
    </r>
    <r>
      <rPr>
        <b/>
        <sz val="9"/>
        <color theme="0"/>
        <rFont val="等线"/>
        <family val="2"/>
        <charset val="134"/>
      </rPr>
      <t>（</t>
    </r>
    <r>
      <rPr>
        <b/>
        <sz val="9"/>
        <color theme="0"/>
        <rFont val="Arial"/>
        <family val="2"/>
      </rPr>
      <t>GWh</t>
    </r>
    <r>
      <rPr>
        <b/>
        <sz val="9"/>
        <color theme="0"/>
        <rFont val="等线"/>
        <family val="2"/>
        <charset val="134"/>
      </rPr>
      <t>）</t>
    </r>
    <phoneticPr fontId="14" type="noConversion"/>
  </si>
  <si>
    <t>装机量</t>
  </si>
  <si>
    <t>装机量</t>
    <phoneticPr fontId="14" type="noConversion"/>
  </si>
  <si>
    <r>
      <rPr>
        <b/>
        <sz val="9"/>
        <color theme="0"/>
        <rFont val="微软雅黑"/>
        <family val="2"/>
        <charset val="134"/>
      </rPr>
      <t>海外动力电池装机规模</t>
    </r>
    <r>
      <rPr>
        <b/>
        <sz val="9"/>
        <color theme="0"/>
        <rFont val="等线"/>
        <family val="2"/>
        <charset val="134"/>
      </rPr>
      <t>（</t>
    </r>
    <r>
      <rPr>
        <b/>
        <sz val="9"/>
        <color theme="0"/>
        <rFont val="Arial"/>
        <family val="2"/>
      </rPr>
      <t>GWh</t>
    </r>
    <r>
      <rPr>
        <b/>
        <sz val="9"/>
        <color theme="0"/>
        <rFont val="等线"/>
        <family val="2"/>
        <charset val="134"/>
      </rPr>
      <t>）</t>
    </r>
    <phoneticPr fontId="14" type="noConversion"/>
  </si>
  <si>
    <r>
      <rPr>
        <b/>
        <sz val="9"/>
        <color theme="0"/>
        <rFont val="微软雅黑"/>
        <family val="2"/>
        <charset val="134"/>
      </rPr>
      <t>中国动力电池装机规模</t>
    </r>
    <r>
      <rPr>
        <b/>
        <sz val="9"/>
        <color theme="0"/>
        <rFont val="等线"/>
        <family val="2"/>
        <charset val="134"/>
      </rPr>
      <t>（</t>
    </r>
    <r>
      <rPr>
        <b/>
        <sz val="9"/>
        <color theme="0"/>
        <rFont val="Arial"/>
        <family val="2"/>
      </rPr>
      <t>GWh</t>
    </r>
    <r>
      <rPr>
        <b/>
        <sz val="9"/>
        <color theme="0"/>
        <rFont val="等线"/>
        <family val="2"/>
        <charset val="134"/>
      </rPr>
      <t>）</t>
    </r>
    <phoneticPr fontId="14" type="noConversion"/>
  </si>
  <si>
    <t>全球动力电池装机（GWh）</t>
    <phoneticPr fontId="14" type="noConversion"/>
  </si>
  <si>
    <r>
      <rPr>
        <b/>
        <sz val="9"/>
        <rFont val="微软雅黑"/>
        <family val="2"/>
        <charset val="134"/>
      </rPr>
      <t>中国动力电池装机</t>
    </r>
    <r>
      <rPr>
        <b/>
        <sz val="9"/>
        <rFont val="等线"/>
        <family val="2"/>
        <charset val="134"/>
      </rPr>
      <t>（</t>
    </r>
    <r>
      <rPr>
        <b/>
        <sz val="9"/>
        <rFont val="Arial"/>
        <family val="2"/>
      </rPr>
      <t>GWh</t>
    </r>
    <r>
      <rPr>
        <b/>
        <sz val="9"/>
        <rFont val="等线"/>
        <family val="2"/>
        <charset val="134"/>
      </rPr>
      <t>）</t>
    </r>
    <phoneticPr fontId="14" type="noConversion"/>
  </si>
  <si>
    <r>
      <rPr>
        <sz val="8"/>
        <color theme="1"/>
        <rFont val="微软雅黑"/>
        <family val="2"/>
        <charset val="134"/>
      </rPr>
      <t>数据来源：</t>
    </r>
    <r>
      <rPr>
        <sz val="8"/>
        <color theme="1"/>
        <rFont val="Arial"/>
        <family val="2"/>
      </rPr>
      <t xml:space="preserve">SNE Research      </t>
    </r>
    <r>
      <rPr>
        <sz val="8"/>
        <color theme="1"/>
        <rFont val="微软雅黑"/>
        <family val="2"/>
        <charset val="134"/>
      </rPr>
      <t>单位：</t>
    </r>
    <r>
      <rPr>
        <sz val="8"/>
        <color theme="1"/>
        <rFont val="Arial"/>
        <family val="2"/>
      </rPr>
      <t>GWh</t>
    </r>
    <phoneticPr fontId="14" type="noConversion"/>
  </si>
  <si>
    <r>
      <rPr>
        <sz val="9"/>
        <rFont val="微软雅黑"/>
        <family val="2"/>
        <charset val="134"/>
      </rPr>
      <t>数据来源：动力电池联盟</t>
    </r>
    <r>
      <rPr>
        <sz val="9"/>
        <rFont val="Arial"/>
        <family val="2"/>
      </rPr>
      <t xml:space="preserve">     </t>
    </r>
    <r>
      <rPr>
        <sz val="9"/>
        <rFont val="微软雅黑"/>
        <family val="2"/>
        <charset val="134"/>
      </rPr>
      <t>单位：</t>
    </r>
    <r>
      <rPr>
        <sz val="9"/>
        <rFont val="Arial"/>
        <family val="2"/>
      </rPr>
      <t>GWh</t>
    </r>
    <phoneticPr fontId="14" type="noConversion"/>
  </si>
  <si>
    <r>
      <t>2025</t>
    </r>
    <r>
      <rPr>
        <b/>
        <sz val="8"/>
        <color theme="0"/>
        <rFont val="微软雅黑"/>
        <family val="2"/>
        <charset val="134"/>
      </rPr>
      <t>年</t>
    </r>
    <phoneticPr fontId="14" type="noConversion"/>
  </si>
  <si>
    <t>宁德时代</t>
    <phoneticPr fontId="14" type="noConversion"/>
  </si>
  <si>
    <t>比亚迪</t>
    <phoneticPr fontId="14" type="noConversion"/>
  </si>
  <si>
    <t>中创新航</t>
    <phoneticPr fontId="14" type="noConversion"/>
  </si>
  <si>
    <t>国轩高科</t>
    <phoneticPr fontId="14" type="noConversion"/>
  </si>
  <si>
    <t>SK On</t>
    <phoneticPr fontId="14" type="noConversion"/>
  </si>
  <si>
    <t>松下</t>
    <phoneticPr fontId="14" type="noConversion"/>
  </si>
  <si>
    <t>亿纬锂能</t>
    <phoneticPr fontId="14" type="noConversion"/>
  </si>
  <si>
    <t>蜂巢能源</t>
    <phoneticPr fontId="14" type="noConversion"/>
  </si>
  <si>
    <r>
      <rPr>
        <sz val="8"/>
        <color theme="1"/>
        <rFont val="微软雅黑"/>
        <family val="2"/>
        <charset val="134"/>
      </rPr>
      <t>三星</t>
    </r>
    <r>
      <rPr>
        <sz val="8"/>
        <color theme="1"/>
        <rFont val="Arial"/>
        <family val="2"/>
      </rPr>
      <t>SDI</t>
    </r>
    <phoneticPr fontId="14" type="noConversion"/>
  </si>
  <si>
    <r>
      <rPr>
        <sz val="9"/>
        <rFont val="微软雅黑"/>
        <family val="2"/>
        <charset val="134"/>
      </rPr>
      <t>全球</t>
    </r>
    <r>
      <rPr>
        <sz val="9"/>
        <rFont val="Arial"/>
        <family val="2"/>
      </rPr>
      <t>2025</t>
    </r>
    <r>
      <rPr>
        <sz val="9"/>
        <rFont val="微软雅黑"/>
        <family val="2"/>
        <charset val="134"/>
      </rPr>
      <t>年</t>
    </r>
    <r>
      <rPr>
        <sz val="9"/>
        <rFont val="Arial"/>
        <family val="2"/>
      </rPr>
      <t>12</t>
    </r>
    <r>
      <rPr>
        <sz val="9"/>
        <rFont val="微软雅黑"/>
        <family val="2"/>
        <charset val="134"/>
      </rPr>
      <t>月装机量企业排名</t>
    </r>
    <phoneticPr fontId="14" type="noConversion"/>
  </si>
  <si>
    <r>
      <rPr>
        <sz val="9"/>
        <rFont val="微软雅黑"/>
        <family val="2"/>
        <charset val="134"/>
      </rPr>
      <t>全球</t>
    </r>
    <r>
      <rPr>
        <sz val="9"/>
        <rFont val="Arial"/>
        <family val="2"/>
      </rPr>
      <t>2025</t>
    </r>
    <r>
      <rPr>
        <sz val="9"/>
        <rFont val="微软雅黑"/>
        <family val="2"/>
        <charset val="134"/>
      </rPr>
      <t>年装机量企业排名</t>
    </r>
    <phoneticPr fontId="14" type="noConversion"/>
  </si>
  <si>
    <r>
      <t>2024</t>
    </r>
    <r>
      <rPr>
        <sz val="9"/>
        <color rgb="FF000000"/>
        <rFont val="微软雅黑"/>
        <family val="2"/>
        <charset val="134"/>
      </rPr>
      <t>年</t>
    </r>
    <phoneticPr fontId="14" type="noConversion"/>
  </si>
  <si>
    <r>
      <t>2025</t>
    </r>
    <r>
      <rPr>
        <sz val="9"/>
        <color rgb="FF000000"/>
        <rFont val="微软雅黑"/>
        <family val="2"/>
        <charset val="134"/>
      </rPr>
      <t>年</t>
    </r>
    <phoneticPr fontId="14" type="noConversion"/>
  </si>
  <si>
    <r>
      <rPr>
        <sz val="9"/>
        <rFont val="微软雅黑"/>
        <family val="2"/>
        <charset val="134"/>
      </rPr>
      <t>海外</t>
    </r>
    <r>
      <rPr>
        <sz val="9"/>
        <rFont val="Arial"/>
        <family val="2"/>
      </rPr>
      <t>2025</t>
    </r>
    <r>
      <rPr>
        <sz val="9"/>
        <rFont val="微软雅黑"/>
        <family val="2"/>
        <charset val="134"/>
      </rPr>
      <t>年</t>
    </r>
    <r>
      <rPr>
        <sz val="9"/>
        <rFont val="Arial"/>
        <family val="2"/>
      </rPr>
      <t>12</t>
    </r>
    <r>
      <rPr>
        <sz val="9"/>
        <rFont val="等线"/>
        <family val="2"/>
        <charset val="134"/>
      </rPr>
      <t>月</t>
    </r>
    <r>
      <rPr>
        <sz val="9"/>
        <rFont val="微软雅黑"/>
        <family val="2"/>
        <charset val="134"/>
      </rPr>
      <t>装机量企业排名</t>
    </r>
    <phoneticPr fontId="14" type="noConversion"/>
  </si>
  <si>
    <r>
      <rPr>
        <sz val="9"/>
        <rFont val="微软雅黑"/>
        <family val="2"/>
        <charset val="134"/>
      </rPr>
      <t>海外</t>
    </r>
    <r>
      <rPr>
        <sz val="9"/>
        <rFont val="Arial"/>
        <family val="2"/>
      </rPr>
      <t>2025</t>
    </r>
    <r>
      <rPr>
        <sz val="9"/>
        <rFont val="微软雅黑"/>
        <family val="2"/>
        <charset val="134"/>
      </rPr>
      <t>年装机量企业排名</t>
    </r>
    <phoneticPr fontId="14" type="noConversion"/>
  </si>
  <si>
    <t>-</t>
    <phoneticPr fontId="14" type="noConversion"/>
  </si>
  <si>
    <t>2026年1月数据</t>
    <phoneticPr fontId="14" type="noConversion"/>
  </si>
  <si>
    <r>
      <t>2026</t>
    </r>
    <r>
      <rPr>
        <sz val="9"/>
        <color theme="1"/>
        <rFont val="等线"/>
        <family val="2"/>
        <charset val="134"/>
      </rPr>
      <t>年1月</t>
    </r>
    <r>
      <rPr>
        <sz val="9"/>
        <color theme="1"/>
        <rFont val="微软雅黑"/>
        <family val="2"/>
        <charset val="134"/>
      </rPr>
      <t>三元装车</t>
    </r>
    <phoneticPr fontId="14" type="noConversion"/>
  </si>
  <si>
    <t>楚能新能源</t>
  </si>
  <si>
    <t>因湃电池</t>
  </si>
  <si>
    <r>
      <t>LG</t>
    </r>
    <r>
      <rPr>
        <sz val="9"/>
        <color rgb="FF000000"/>
        <rFont val="宋体"/>
        <family val="3"/>
        <charset val="134"/>
      </rPr>
      <t>新能源</t>
    </r>
  </si>
  <si>
    <t>巨湾技研</t>
  </si>
  <si>
    <t>远航锦锂</t>
  </si>
  <si>
    <t>瑞浦兰钧</t>
    <phoneticPr fontId="14" type="noConversion"/>
  </si>
  <si>
    <t>欣旺达</t>
    <phoneticPr fontId="14" type="noConversion"/>
  </si>
  <si>
    <t>正力新能</t>
    <phoneticPr fontId="14" type="noConversion"/>
  </si>
  <si>
    <t>巨湾技研</t>
    <phoneticPr fontId="14" type="noConversion"/>
  </si>
  <si>
    <t>赣锋锂电</t>
    <phoneticPr fontId="14" type="noConversion"/>
  </si>
  <si>
    <t>中汽新能</t>
    <phoneticPr fontId="14" type="noConversion"/>
  </si>
  <si>
    <t>吉曜通行</t>
    <phoneticPr fontId="14" type="noConversion"/>
  </si>
  <si>
    <t>远航锦鲤</t>
    <phoneticPr fontId="14" type="noConversion"/>
  </si>
  <si>
    <t>纯电动货车</t>
    <phoneticPr fontId="14" type="noConversion"/>
  </si>
  <si>
    <r>
      <rPr>
        <sz val="8"/>
        <rFont val="微软雅黑"/>
        <family val="2"/>
        <charset val="134"/>
      </rPr>
      <t>插混</t>
    </r>
    <r>
      <rPr>
        <sz val="8"/>
        <rFont val="等线"/>
        <family val="2"/>
        <charset val="134"/>
      </rPr>
      <t>货车</t>
    </r>
    <phoneticPr fontId="14" type="noConversion"/>
  </si>
  <si>
    <r>
      <rPr>
        <sz val="9"/>
        <rFont val="微软雅黑"/>
        <family val="2"/>
        <charset val="134"/>
      </rPr>
      <t>全球</t>
    </r>
    <r>
      <rPr>
        <sz val="9"/>
        <rFont val="Arial"/>
        <family val="2"/>
      </rPr>
      <t>2026</t>
    </r>
    <r>
      <rPr>
        <sz val="9"/>
        <rFont val="微软雅黑"/>
        <family val="2"/>
        <charset val="134"/>
      </rPr>
      <t>年</t>
    </r>
    <r>
      <rPr>
        <sz val="9"/>
        <rFont val="Arial"/>
        <family val="2"/>
      </rPr>
      <t>1</t>
    </r>
    <r>
      <rPr>
        <sz val="9"/>
        <rFont val="微软雅黑"/>
        <family val="2"/>
        <charset val="134"/>
      </rPr>
      <t>月装机量企业排名</t>
    </r>
    <phoneticPr fontId="14" type="noConversion"/>
  </si>
  <si>
    <r>
      <t>2025</t>
    </r>
    <r>
      <rPr>
        <sz val="9"/>
        <color rgb="FF000000"/>
        <rFont val="微软雅黑"/>
        <family val="2"/>
        <charset val="134"/>
      </rPr>
      <t>年占比</t>
    </r>
    <phoneticPr fontId="14" type="noConversion"/>
  </si>
  <si>
    <r>
      <t>2026</t>
    </r>
    <r>
      <rPr>
        <sz val="9"/>
        <color rgb="FF000000"/>
        <rFont val="微软雅黑"/>
        <family val="2"/>
        <charset val="134"/>
      </rPr>
      <t>年占比</t>
    </r>
    <phoneticPr fontId="14" type="noConversion"/>
  </si>
  <si>
    <t>宁德时代</t>
    <phoneticPr fontId="14" type="noConversion"/>
  </si>
  <si>
    <t>比亚迪</t>
    <phoneticPr fontId="14" type="noConversion"/>
  </si>
  <si>
    <t>三星SDI</t>
  </si>
  <si>
    <t>国轩高科</t>
    <phoneticPr fontId="14" type="noConversion"/>
  </si>
  <si>
    <t>中创新航</t>
    <phoneticPr fontId="14" type="noConversion"/>
  </si>
  <si>
    <t>远景动力</t>
  </si>
  <si>
    <t>远景动力</t>
    <phoneticPr fontId="14" type="noConversion"/>
  </si>
  <si>
    <t>2026年2月数据</t>
  </si>
  <si>
    <t>2026年1-2月数据</t>
  </si>
  <si>
    <t>2026年2月磷酸铁锂装车</t>
  </si>
  <si>
    <t>2026年2月三元装车</t>
  </si>
  <si>
    <t>中汽新能</t>
  </si>
  <si>
    <t>中汽新能</t>
    <phoneticPr fontId="14" type="noConversion"/>
  </si>
  <si>
    <t>楚能新能源</t>
    <phoneticPr fontId="14" type="noConversion"/>
  </si>
  <si>
    <t>吉曜通行</t>
    <phoneticPr fontId="14" type="noConversion"/>
  </si>
  <si>
    <t>瑞浦兰钧</t>
    <phoneticPr fontId="14" type="noConversion"/>
  </si>
  <si>
    <t>亿纬锂能</t>
    <phoneticPr fontId="14" type="noConversion"/>
  </si>
  <si>
    <t>占比</t>
  </si>
  <si>
    <t>序号</t>
  </si>
  <si>
    <t>企业名称</t>
  </si>
  <si>
    <t>装车量（GWh）</t>
  </si>
  <si>
    <t>多氟多</t>
  </si>
  <si>
    <t>巨湾技研</t>
    <phoneticPr fontId="14" type="noConversion"/>
  </si>
  <si>
    <t>LG新能源</t>
    <phoneticPr fontId="14" type="noConversion"/>
  </si>
  <si>
    <t>蜂巢能源</t>
    <phoneticPr fontId="14" type="noConversion"/>
  </si>
  <si>
    <r>
      <rPr>
        <sz val="9"/>
        <rFont val="微软雅黑"/>
        <family val="2"/>
        <charset val="134"/>
      </rPr>
      <t>全球</t>
    </r>
    <r>
      <rPr>
        <sz val="9"/>
        <rFont val="Arial"/>
        <family val="2"/>
      </rPr>
      <t>2026</t>
    </r>
    <r>
      <rPr>
        <sz val="9"/>
        <rFont val="微软雅黑"/>
        <family val="2"/>
        <charset val="134"/>
      </rPr>
      <t>年2月装机量企业排名</t>
    </r>
    <phoneticPr fontId="14" type="noConversion"/>
  </si>
  <si>
    <r>
      <rPr>
        <sz val="9"/>
        <rFont val="微软雅黑"/>
        <family val="2"/>
        <charset val="134"/>
      </rPr>
      <t>全球</t>
    </r>
    <r>
      <rPr>
        <sz val="9"/>
        <rFont val="Arial"/>
        <family val="2"/>
      </rPr>
      <t>2026</t>
    </r>
    <r>
      <rPr>
        <sz val="9"/>
        <rFont val="微软雅黑"/>
        <family val="2"/>
        <charset val="134"/>
      </rPr>
      <t>年1-</t>
    </r>
    <r>
      <rPr>
        <sz val="9"/>
        <rFont val="Arial"/>
        <family val="2"/>
      </rPr>
      <t>2</t>
    </r>
    <r>
      <rPr>
        <sz val="9"/>
        <rFont val="微软雅黑"/>
        <family val="2"/>
        <charset val="134"/>
      </rPr>
      <t>月装机量企业排名</t>
    </r>
    <phoneticPr fontId="14" type="noConversion"/>
  </si>
  <si>
    <r>
      <t>2025</t>
    </r>
    <r>
      <rPr>
        <sz val="9"/>
        <color rgb="FF000000"/>
        <rFont val="微软雅黑"/>
        <family val="2"/>
        <charset val="134"/>
      </rPr>
      <t>年</t>
    </r>
    <r>
      <rPr>
        <sz val="9"/>
        <color rgb="FF000000"/>
        <rFont val="Arial"/>
        <family val="2"/>
      </rPr>
      <t>1-2</t>
    </r>
    <r>
      <rPr>
        <sz val="9"/>
        <color rgb="FF000000"/>
        <rFont val="微软雅黑"/>
        <family val="2"/>
        <charset val="134"/>
      </rPr>
      <t>月</t>
    </r>
    <phoneticPr fontId="14" type="noConversion"/>
  </si>
  <si>
    <r>
      <t>2026</t>
    </r>
    <r>
      <rPr>
        <sz val="9"/>
        <color rgb="FF000000"/>
        <rFont val="微软雅黑"/>
        <family val="2"/>
        <charset val="134"/>
      </rPr>
      <t>年</t>
    </r>
    <r>
      <rPr>
        <sz val="9"/>
        <color rgb="FF000000"/>
        <rFont val="Arial"/>
        <family val="2"/>
      </rPr>
      <t>1-2</t>
    </r>
    <r>
      <rPr>
        <sz val="9"/>
        <color rgb="FF000000"/>
        <rFont val="微软雅黑"/>
        <family val="2"/>
        <charset val="134"/>
      </rPr>
      <t>月</t>
    </r>
    <phoneticPr fontId="14" type="noConversion"/>
  </si>
  <si>
    <r>
      <t>2025</t>
    </r>
    <r>
      <rPr>
        <sz val="9"/>
        <color rgb="FF000000"/>
        <rFont val="微软雅黑"/>
        <family val="2"/>
        <charset val="134"/>
      </rPr>
      <t>年占比</t>
    </r>
    <phoneticPr fontId="14" type="noConversion"/>
  </si>
  <si>
    <r>
      <t>2026</t>
    </r>
    <r>
      <rPr>
        <sz val="9"/>
        <color rgb="FF000000"/>
        <rFont val="微软雅黑"/>
        <family val="2"/>
        <charset val="134"/>
      </rPr>
      <t>年占比</t>
    </r>
    <phoneticPr fontId="14" type="noConversion"/>
  </si>
  <si>
    <t>2025年占比</t>
  </si>
  <si>
    <t>2026年占比</t>
  </si>
  <si>
    <t>海外2026年1月装机量企业排名</t>
    <phoneticPr fontId="14" type="noConversion"/>
  </si>
  <si>
    <t>2026年3月数据</t>
  </si>
  <si>
    <t>2026年1-3月数据</t>
  </si>
  <si>
    <t>2026年3月磷酸铁锂装车</t>
  </si>
  <si>
    <t>2026年3月三元装车</t>
  </si>
  <si>
    <t>欣旺达</t>
    <phoneticPr fontId="14" type="noConversion"/>
  </si>
  <si>
    <t>正力新能</t>
    <phoneticPr fontId="14" type="noConversion"/>
  </si>
  <si>
    <t>蜂巢能源</t>
    <phoneticPr fontId="14" type="noConversion"/>
  </si>
  <si>
    <t>国轩高科</t>
    <phoneticPr fontId="14" type="noConversion"/>
  </si>
  <si>
    <t>2026年1月磷酸铁锂装车</t>
    <phoneticPr fontId="14" type="noConversion"/>
  </si>
  <si>
    <t>瑞浦兰钧</t>
    <phoneticPr fontId="14" type="noConversion"/>
  </si>
  <si>
    <t>巨湾技研</t>
    <phoneticPr fontId="14" type="noConversion"/>
  </si>
  <si>
    <t>远航锦锂</t>
    <phoneticPr fontId="14" type="noConversion"/>
  </si>
  <si>
    <t>因湃电池</t>
    <phoneticPr fontId="14" type="noConversion"/>
  </si>
  <si>
    <t>楚能新能源</t>
    <phoneticPr fontId="14" type="noConversion"/>
  </si>
  <si>
    <t>赣锋锂电</t>
  </si>
  <si>
    <t xml:space="preserve">  </t>
    <phoneticPr fontId="14" type="noConversion"/>
  </si>
  <si>
    <t>全球2026年3月装机量企业排名</t>
  </si>
  <si>
    <t>全球2026年1-3月装机量企业排名</t>
  </si>
  <si>
    <t>2025年1-3月</t>
  </si>
  <si>
    <t>2026年1-3月</t>
  </si>
  <si>
    <r>
      <t>2-3</t>
    </r>
    <r>
      <rPr>
        <b/>
        <sz val="9"/>
        <color theme="0"/>
        <rFont val="微软雅黑"/>
        <family val="2"/>
        <charset val="134"/>
      </rPr>
      <t>月</t>
    </r>
    <phoneticPr fontId="14" type="noConversion"/>
  </si>
  <si>
    <r>
      <t>2025</t>
    </r>
    <r>
      <rPr>
        <sz val="9"/>
        <color rgb="FF000000"/>
        <rFont val="微软雅黑"/>
        <family val="2"/>
        <charset val="134"/>
      </rPr>
      <t>年</t>
    </r>
    <r>
      <rPr>
        <sz val="9"/>
        <color rgb="FF000000"/>
        <rFont val="Arial"/>
        <family val="2"/>
      </rPr>
      <t>2-3</t>
    </r>
    <r>
      <rPr>
        <sz val="9"/>
        <color rgb="FF000000"/>
        <rFont val="微软雅黑"/>
        <family val="2"/>
        <charset val="134"/>
      </rPr>
      <t>月</t>
    </r>
    <phoneticPr fontId="14" type="noConversion"/>
  </si>
  <si>
    <r>
      <t>2026</t>
    </r>
    <r>
      <rPr>
        <sz val="9"/>
        <color rgb="FF000000"/>
        <rFont val="微软雅黑"/>
        <family val="2"/>
        <charset val="134"/>
      </rPr>
      <t>年</t>
    </r>
    <r>
      <rPr>
        <sz val="9"/>
        <color rgb="FF000000"/>
        <rFont val="Arial"/>
        <family val="2"/>
      </rPr>
      <t>2-3</t>
    </r>
    <r>
      <rPr>
        <sz val="9"/>
        <color rgb="FF000000"/>
        <rFont val="微软雅黑"/>
        <family val="2"/>
        <charset val="134"/>
      </rPr>
      <t>月</t>
    </r>
    <phoneticPr fontId="14" type="noConversion"/>
  </si>
  <si>
    <t>2026年4月数据</t>
  </si>
  <si>
    <t>2026年1-4月数据</t>
  </si>
  <si>
    <t>2026年4月磷酸铁锂装车</t>
  </si>
  <si>
    <t>2026年4月三元装车</t>
  </si>
  <si>
    <t>国轩高科:</t>
  </si>
  <si>
    <t>瑞浦兰钧</t>
    <phoneticPr fontId="14" type="noConversion"/>
  </si>
  <si>
    <t>正力新能</t>
    <phoneticPr fontId="14" type="noConversion"/>
  </si>
  <si>
    <t>吉曜通行</t>
    <phoneticPr fontId="14" type="noConversion"/>
  </si>
  <si>
    <t>欣旺达</t>
    <phoneticPr fontId="14" type="noConversion"/>
  </si>
  <si>
    <t>国轩高科</t>
    <phoneticPr fontId="14" type="noConversion"/>
  </si>
  <si>
    <t>中创新航</t>
    <phoneticPr fontId="14" type="noConversion"/>
  </si>
  <si>
    <t>LG新能源</t>
    <phoneticPr fontId="14" type="noConversion"/>
  </si>
  <si>
    <t>宁德时代</t>
    <phoneticPr fontId="14" type="noConversion"/>
  </si>
  <si>
    <t>蜂巢能源</t>
    <phoneticPr fontId="14" type="noConversion"/>
  </si>
  <si>
    <t>亿纬锂能</t>
    <phoneticPr fontId="14" type="noConversion"/>
  </si>
  <si>
    <t>远航锦锂</t>
    <phoneticPr fontId="14" type="noConversion"/>
  </si>
  <si>
    <t>巨湾技研</t>
    <phoneticPr fontId="14" type="noConversion"/>
  </si>
  <si>
    <t>三一红象</t>
    <phoneticPr fontId="14" type="noConversion"/>
  </si>
  <si>
    <t>三元电池产量</t>
    <phoneticPr fontId="14" type="noConversion"/>
  </si>
  <si>
    <t>铁锂电池产量</t>
    <phoneticPr fontId="14" type="noConversion"/>
  </si>
  <si>
    <t>中国锂电池产量规模</t>
    <phoneticPr fontId="14" type="noConversion"/>
  </si>
  <si>
    <t>徐强（分析师）</t>
    <phoneticPr fontId="14" type="noConversion"/>
  </si>
  <si>
    <t>牟俊宇（分析师）</t>
    <phoneticPr fontId="14" type="noConversion"/>
  </si>
  <si>
    <t>李依雯（研究助理）</t>
    <phoneticPr fontId="14" type="noConversion"/>
  </si>
  <si>
    <t>本公司具有中国证监会核准的证券投资咨询业务资格</t>
  </si>
  <si>
    <t>分析师声明</t>
  </si>
  <si>
    <t>作者具有中国证券业协会授予的证券投资咨询执业资格或相当的专业胜任能力，保证报告所采用的数据均来自合规渠道，分析逻辑基于作者的职业理解，本报告清晰准确地反映了作者的研究观点，力求独立、客观和公正，结论不受任何第三方的授意或影响，特此声明。</t>
  </si>
  <si>
    <t>免责声明</t>
  </si>
  <si>
    <t>本报告仅供国泰海通证券股份有限公司（以下简称“本公司”）授权客户使用。本公司不会因接收人收到本报告而视其为本公司的当然客户。本报告仅在相关法律许可的情况下发放，并仅为提供信息而发放，概不构成任何广告。</t>
  </si>
  <si>
    <t>本报告的信息来源于已公开的资料，本公司对该等信息的准确性、完整性或可靠性不作任何保证。本报告所载的资料、意见及推测仅反映本公司于发布本报告当日的判断，本报告所指的证券或投资标的的价格、价值及投资收入可升可跌。过往表现不应作为日后的表现依据。在不同时期，本公司可发出与本报告所载资料、意见及推测不一致的报告。本公司不保证本报告所含信息保持在最新状态。同时，本公司对本报告所含信息可在不发出通知的情形下做出修改，投资者应当自行关注相应的更新或修改。</t>
  </si>
  <si>
    <t>本报告中所指的投资及服务可能不适合个别客户，不构成客户私人咨询建议。在任何情况下，本报告中的信息或所表述的意见均不构成对任何人的投资建议。在任何情况下，本公司、本公司员工或者关联机构不承诺投资者一定获利，不与投资者分享投资收益，也不对任何人因使用本报告中的任何内容所引致的任何损失负任何责任。投资者务必注意，其据此做出的任何投资决策与本公司、本公司员工或者关联机构无关。</t>
  </si>
  <si>
    <t>本公司利用信息隔离墙控制内部一个或多个领域、部门或关联机构之间的信息流动。因此，投资者应注意，在法律许可的情况下，本公司及其所属关联机构可能会持有报告中提到的公司所发行的证券或期权并进行证券或期权交易，也可能为这些公司提供或者争取提供投资银行、财务顾问或者金融产品等相关服务。在法律许可的情况下，本公司的员工可能担任本报告所提到的公司的董事。</t>
  </si>
  <si>
    <t>市场有风险，投资需谨慎。投资者不应将本报告为作出投资决策的惟一参考因素，亦不应认为本报告可以取代自己的判断。在决定投资前，如有需要，投资者务必向专业人士咨询并谨慎决策。</t>
  </si>
  <si>
    <t>本报告版权仅为本公司所有，未经书面许可，任何机构和个人不得以任何形式翻版、复制、发表或引用。如征得本公司同意进行引用、刊发的，需在允许的范围内使用，并注明出处为“国泰海通证券研究”，且不得对本报告进行任何有悖原意的引用、删节和修改。</t>
  </si>
  <si>
    <t>若本公司以外的其他机构（以下简称“该机构”）发送本报告，则由该机构独自为此发送行为负责。通过此途径获得本报告的投资者应自行联系该机构以要求获悉更详细信息或进而交易本报告中提及的证券。本报告不构成本公司向该机构之客户提供的投资建议，本公司、本公司员工或者关联机构亦不为该机构之客户因使用本报告或报告所载内容引起的任何损失承担任何责任。</t>
  </si>
  <si>
    <t>评级说明</t>
  </si>
  <si>
    <t>评级</t>
  </si>
  <si>
    <t>说明</t>
  </si>
  <si>
    <r>
      <t xml:space="preserve">1.投资建议的比较标准
</t>
    </r>
    <r>
      <rPr>
        <sz val="9"/>
        <rFont val="宋体"/>
        <family val="3"/>
        <charset val="134"/>
      </rPr>
      <t>投资评级分为股票评级和行业评级。
以报告发布后的12个月内的市场表现为比较标准，报告发布日后的12个月内的公司股价（或行业指数）的涨跌幅相对同期的沪深300指数涨跌幅为基准。</t>
    </r>
  </si>
  <si>
    <t>股票投资评级</t>
  </si>
  <si>
    <t>相对沪深300指数涨幅10%以上</t>
  </si>
  <si>
    <t>谨慎增持</t>
  </si>
  <si>
    <t>相对沪深300指数涨幅介于5%～10%之间</t>
  </si>
  <si>
    <t>中性</t>
  </si>
  <si>
    <t>相对沪深300指数涨幅介于-5%～5%</t>
  </si>
  <si>
    <t>减持</t>
  </si>
  <si>
    <t>相对沪深300指数下跌5%以上</t>
  </si>
  <si>
    <t>无评级</t>
  </si>
  <si>
    <t>对于个股未来市场表现与基准指数相比无明确观点</t>
  </si>
  <si>
    <t>行业投资评级</t>
  </si>
  <si>
    <t>明显强于沪深300指数</t>
  </si>
  <si>
    <t>基本与沪深300指数持平</t>
  </si>
  <si>
    <t>明显弱于沪深300指数</t>
  </si>
  <si>
    <t>国泰海通证券研究</t>
  </si>
  <si>
    <t>地址</t>
  </si>
  <si>
    <t>上海市黄浦区中山南路888号</t>
  </si>
  <si>
    <t>邮编</t>
  </si>
  <si>
    <t>电话</t>
  </si>
  <si>
    <t>（021）
38676666</t>
  </si>
  <si>
    <t>全球2026年4月装机量企业排名</t>
  </si>
  <si>
    <t>全球2026年1-4月装机量企业排名</t>
  </si>
  <si>
    <t>2025年1-4月</t>
  </si>
  <si>
    <t>2026年1-4月</t>
  </si>
  <si>
    <t>其他</t>
  </si>
  <si>
    <t>合计</t>
  </si>
  <si>
    <r>
      <rPr>
        <sz val="9"/>
        <rFont val="等线"/>
        <family val="2"/>
        <charset val="134"/>
      </rPr>
      <t>海外</t>
    </r>
    <r>
      <rPr>
        <sz val="9"/>
        <rFont val="Arial"/>
        <family val="2"/>
      </rPr>
      <t>2026</t>
    </r>
    <r>
      <rPr>
        <sz val="9"/>
        <rFont val="微软雅黑"/>
        <family val="2"/>
        <charset val="134"/>
      </rPr>
      <t>年</t>
    </r>
    <r>
      <rPr>
        <sz val="9"/>
        <rFont val="Arial"/>
        <family val="2"/>
      </rPr>
      <t>2-3</t>
    </r>
    <r>
      <rPr>
        <sz val="9"/>
        <rFont val="微软雅黑"/>
        <family val="2"/>
        <charset val="134"/>
      </rPr>
      <t>月装机量企业排名</t>
    </r>
    <phoneticPr fontId="14" type="noConversion"/>
  </si>
  <si>
    <r>
      <rPr>
        <sz val="9"/>
        <rFont val="等线"/>
        <family val="2"/>
        <charset val="134"/>
      </rPr>
      <t>海外</t>
    </r>
    <r>
      <rPr>
        <sz val="9"/>
        <rFont val="Arial"/>
        <family val="2"/>
      </rPr>
      <t>2026</t>
    </r>
    <r>
      <rPr>
        <sz val="9"/>
        <rFont val="微软雅黑"/>
        <family val="2"/>
        <charset val="134"/>
      </rPr>
      <t>年</t>
    </r>
    <r>
      <rPr>
        <sz val="9"/>
        <rFont val="Arial"/>
        <family val="2"/>
      </rPr>
      <t>1-3</t>
    </r>
    <r>
      <rPr>
        <sz val="9"/>
        <rFont val="微软雅黑"/>
        <family val="2"/>
        <charset val="134"/>
      </rPr>
      <t>月装机量企业排名</t>
    </r>
    <phoneticPr fontId="14" type="noConversion"/>
  </si>
  <si>
    <r>
      <rPr>
        <sz val="9"/>
        <rFont val="等线"/>
        <family val="2"/>
        <charset val="134"/>
      </rPr>
      <t>海外</t>
    </r>
    <r>
      <rPr>
        <sz val="9"/>
        <rFont val="Arial"/>
        <family val="2"/>
      </rPr>
      <t>2026</t>
    </r>
    <r>
      <rPr>
        <sz val="9"/>
        <rFont val="微软雅黑"/>
        <family val="2"/>
        <charset val="134"/>
      </rPr>
      <t>年</t>
    </r>
    <r>
      <rPr>
        <sz val="9"/>
        <rFont val="Arial"/>
        <family val="2"/>
      </rPr>
      <t>4</t>
    </r>
    <r>
      <rPr>
        <sz val="9"/>
        <rFont val="微软雅黑"/>
        <family val="2"/>
        <charset val="134"/>
      </rPr>
      <t>月装机量企业排名</t>
    </r>
    <phoneticPr fontId="14" type="noConversion"/>
  </si>
  <si>
    <r>
      <rPr>
        <sz val="9"/>
        <rFont val="等线"/>
        <family val="2"/>
        <charset val="134"/>
      </rPr>
      <t>海外</t>
    </r>
    <r>
      <rPr>
        <sz val="9"/>
        <rFont val="Arial"/>
        <family val="2"/>
      </rPr>
      <t>2026</t>
    </r>
    <r>
      <rPr>
        <sz val="9"/>
        <rFont val="微软雅黑"/>
        <family val="2"/>
        <charset val="134"/>
      </rPr>
      <t>年</t>
    </r>
    <r>
      <rPr>
        <sz val="9"/>
        <rFont val="Arial"/>
        <family val="2"/>
      </rPr>
      <t>1-4</t>
    </r>
    <r>
      <rPr>
        <sz val="9"/>
        <rFont val="微软雅黑"/>
        <family val="2"/>
        <charset val="134"/>
      </rPr>
      <t>月装机量企业排名</t>
    </r>
    <phoneticPr fontId="14" type="noConversion"/>
  </si>
  <si>
    <t>2026年5月数据</t>
  </si>
  <si>
    <t>2026年1-5月数据</t>
  </si>
  <si>
    <t>2026年5月磷酸铁锂装车</t>
  </si>
  <si>
    <t>2026年5月三元装车</t>
  </si>
  <si>
    <t>正力新能</t>
    <phoneticPr fontId="14" type="noConversion"/>
  </si>
  <si>
    <t>三一红象</t>
    <phoneticPr fontId="14" type="noConversion"/>
  </si>
  <si>
    <t>LG新能源</t>
    <phoneticPr fontId="14" type="noConversion"/>
  </si>
  <si>
    <t>国轩高科</t>
    <phoneticPr fontId="14" type="noConversion"/>
  </si>
  <si>
    <t>宁德时代</t>
    <phoneticPr fontId="14" type="noConversion"/>
  </si>
  <si>
    <r>
      <t>2026</t>
    </r>
    <r>
      <rPr>
        <b/>
        <sz val="11"/>
        <color theme="0"/>
        <rFont val="楷体_GB2312"/>
        <family val="3"/>
        <charset val="134"/>
      </rPr>
      <t>年</t>
    </r>
    <r>
      <rPr>
        <b/>
        <sz val="11"/>
        <color theme="0"/>
        <rFont val="Arial"/>
        <family val="2"/>
      </rPr>
      <t>6</t>
    </r>
    <r>
      <rPr>
        <b/>
        <sz val="11"/>
        <color theme="0"/>
        <rFont val="楷体_GB2312"/>
        <family val="3"/>
        <charset val="134"/>
      </rPr>
      <t>月</t>
    </r>
    <r>
      <rPr>
        <b/>
        <sz val="11"/>
        <color theme="0"/>
        <rFont val="Arial"/>
        <family val="2"/>
      </rPr>
      <t>19</t>
    </r>
    <r>
      <rPr>
        <b/>
        <sz val="11"/>
        <color theme="0"/>
        <rFont val="楷体_GB2312"/>
        <family val="3"/>
        <charset val="134"/>
      </rPr>
      <t>日</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</si>
</sst>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_);[Red]\(0.0\)"/>
    <numFmt numFmtId="178" formatCode="0.0_ "/>
    <numFmt numFmtId="179" formatCode="0.0%"/>
    <numFmt numFmtId="180" formatCode="0.0"/>
    <numFmt numFmtId="181" formatCode="0.00000000000000_ "/>
    <numFmt numFmtId="182" formatCode="0_);[Red]\(0\)"/>
    <numFmt numFmtId="183" formatCode="#,##0.0_ "/>
    <numFmt numFmtId="184" formatCode="#,##0.0"/>
  </numFmts>
  <fonts count="72" x14ac:knownFonts="1">
    <font>
      <sz val="11"/>
      <color theme="1"/>
      <name val="宋体"/>
      <charset val="134"/>
      <scheme val="minor"/>
    </font>
    <font>
      <sz val="12"/>
      <color theme="1"/>
      <name val="宋体"/>
      <charset val="134"/>
      <scheme val="minor"/>
    </font>
    <font>
      <u/>
      <sz val="12"/>
      <color indexed="12"/>
      <name val="宋体"/>
      <charset val="134"/>
    </font>
    <font>
      <sz val="18"/>
      <color theme="1"/>
      <name val="楷体_GB2312"/>
      <charset val="134"/>
    </font>
    <font>
      <b/>
      <sz val="28"/>
      <color theme="0"/>
      <name val="楷体_GB2312"/>
      <charset val="134"/>
    </font>
    <font>
      <b/>
      <sz val="18"/>
      <name val="楷体_GB2312"/>
      <charset val="134"/>
    </font>
    <font>
      <b/>
      <sz val="11"/>
      <color theme="4" tint="-0.249977111117893"/>
      <name val="Times New Roman"/>
      <family val="1"/>
    </font>
    <font>
      <sz val="11"/>
      <color theme="4" tint="-0.249977111117893"/>
      <name val="Times New Roman"/>
      <family val="1"/>
    </font>
    <font>
      <sz val="11"/>
      <color theme="4" tint="-0.249977111117893"/>
      <name val="楷体"/>
      <charset val="134"/>
    </font>
    <font>
      <u/>
      <sz val="12"/>
      <color indexed="12"/>
      <name val="楷体"/>
      <charset val="134"/>
    </font>
    <font>
      <b/>
      <sz val="12"/>
      <name val="楷体_GB2312"/>
      <charset val="134"/>
    </font>
    <font>
      <b/>
      <sz val="12"/>
      <name val="宋体"/>
      <charset val="134"/>
    </font>
    <font>
      <sz val="11"/>
      <color theme="1"/>
      <name val="宋体"/>
      <charset val="134"/>
      <scheme val="minor"/>
    </font>
    <font>
      <b/>
      <sz val="11"/>
      <color theme="4" tint="-0.249977111117893"/>
      <name val="楷体"/>
      <charset val="134"/>
    </font>
    <font>
      <sz val="9"/>
      <name val="宋体"/>
      <family val="3"/>
      <charset val="134"/>
      <scheme val="minor"/>
    </font>
    <font>
      <b/>
      <sz val="11"/>
      <color theme="1"/>
      <name val="宋体"/>
      <family val="1"/>
      <charset val="134"/>
    </font>
    <font>
      <sz val="9"/>
      <color theme="1"/>
      <name val="微软雅黑"/>
      <family val="2"/>
      <charset val="134"/>
    </font>
    <font>
      <sz val="9"/>
      <color rgb="FF000000"/>
      <name val="微软雅黑"/>
      <family val="2"/>
      <charset val="134"/>
    </font>
    <font>
      <b/>
      <sz val="9"/>
      <color theme="1"/>
      <name val="微软雅黑"/>
      <family val="2"/>
      <charset val="134"/>
    </font>
    <font>
      <sz val="9"/>
      <name val="微软雅黑"/>
      <family val="2"/>
      <charset val="134"/>
    </font>
    <font>
      <b/>
      <sz val="9"/>
      <color theme="0"/>
      <name val="微软雅黑"/>
      <family val="2"/>
      <charset val="134"/>
    </font>
    <font>
      <b/>
      <sz val="9"/>
      <name val="微软雅黑"/>
      <family val="2"/>
      <charset val="134"/>
    </font>
    <font>
      <sz val="9"/>
      <color rgb="FFFF0000"/>
      <name val="微软雅黑"/>
      <family val="2"/>
      <charset val="134"/>
    </font>
    <font>
      <sz val="9"/>
      <color theme="1"/>
      <name val="Arial"/>
      <family val="2"/>
    </font>
    <font>
      <b/>
      <sz val="10"/>
      <color theme="1"/>
      <name val="Arial"/>
      <family val="2"/>
    </font>
    <font>
      <sz val="9"/>
      <color rgb="FF000000"/>
      <name val="Arial"/>
      <family val="2"/>
    </font>
    <font>
      <sz val="9"/>
      <name val="Arial"/>
      <family val="2"/>
    </font>
    <font>
      <sz val="12"/>
      <color rgb="FF000000"/>
      <name val="Arial"/>
      <family val="2"/>
    </font>
    <font>
      <u/>
      <sz val="12"/>
      <color indexed="12"/>
      <name val="Arial"/>
      <family val="2"/>
    </font>
    <font>
      <sz val="11"/>
      <color theme="1"/>
      <name val="Arial"/>
      <family val="2"/>
    </font>
    <font>
      <sz val="6"/>
      <color rgb="FF404040"/>
      <name val="Arial"/>
      <family val="2"/>
    </font>
    <font>
      <sz val="10.5"/>
      <color rgb="FF000000"/>
      <name val="Arial"/>
      <family val="2"/>
    </font>
    <font>
      <sz val="9"/>
      <color rgb="FFFF0000"/>
      <name val="Arial"/>
      <family val="2"/>
    </font>
    <font>
      <u/>
      <sz val="12"/>
      <color rgb="FF800080"/>
      <name val="Arial"/>
      <family val="2"/>
    </font>
    <font>
      <sz val="5"/>
      <color rgb="FF1C1F23"/>
      <name val="Arial"/>
      <family val="2"/>
    </font>
    <font>
      <b/>
      <sz val="9"/>
      <color theme="1"/>
      <name val="Arial"/>
      <family val="2"/>
    </font>
    <font>
      <b/>
      <sz val="9"/>
      <name val="Arial"/>
      <family val="2"/>
    </font>
    <font>
      <sz val="8"/>
      <color theme="1"/>
      <name val="Arial"/>
      <family val="2"/>
    </font>
    <font>
      <sz val="8"/>
      <color theme="1"/>
      <name val="微软雅黑"/>
      <family val="2"/>
      <charset val="134"/>
    </font>
    <font>
      <b/>
      <sz val="9"/>
      <color theme="0"/>
      <name val="Arial"/>
      <family val="2"/>
    </font>
    <font>
      <b/>
      <sz val="8"/>
      <color theme="1"/>
      <name val="Arial"/>
      <family val="2"/>
    </font>
    <font>
      <sz val="12"/>
      <color theme="1"/>
      <name val="Arial"/>
      <family val="2"/>
    </font>
    <font>
      <sz val="9"/>
      <color rgb="FF404040"/>
      <name val="Arial"/>
      <family val="2"/>
    </font>
    <font>
      <sz val="8"/>
      <name val="Arial"/>
      <family val="2"/>
    </font>
    <font>
      <sz val="8"/>
      <name val="微软雅黑"/>
      <family val="2"/>
      <charset val="134"/>
    </font>
    <font>
      <b/>
      <sz val="8"/>
      <color theme="0"/>
      <name val="Arial"/>
      <family val="2"/>
    </font>
    <font>
      <b/>
      <sz val="8"/>
      <color theme="0"/>
      <name val="微软雅黑"/>
      <family val="2"/>
      <charset val="134"/>
    </font>
    <font>
      <sz val="8"/>
      <color rgb="FF000000"/>
      <name val="Arial"/>
      <family val="2"/>
    </font>
    <font>
      <b/>
      <sz val="11"/>
      <color theme="0"/>
      <name val="Arial"/>
      <family val="2"/>
    </font>
    <font>
      <sz val="10"/>
      <color theme="1"/>
      <name val="楷体_GB2312"/>
      <family val="3"/>
      <charset val="134"/>
    </font>
    <font>
      <sz val="10"/>
      <color theme="1"/>
      <name val="Arial"/>
      <family val="2"/>
    </font>
    <font>
      <sz val="11"/>
      <color theme="4" tint="-0.249977111117893"/>
      <name val="楷体_GB2312"/>
      <family val="3"/>
      <charset val="134"/>
    </font>
    <font>
      <u/>
      <sz val="12"/>
      <color indexed="12"/>
      <name val="楷体_GB2312"/>
      <family val="3"/>
      <charset val="134"/>
    </font>
    <font>
      <b/>
      <sz val="11"/>
      <color theme="0"/>
      <name val="楷体_GB2312"/>
      <family val="3"/>
      <charset val="134"/>
    </font>
    <font>
      <sz val="8"/>
      <color theme="1"/>
      <name val="Arial"/>
      <family val="2"/>
      <charset val="134"/>
    </font>
    <font>
      <b/>
      <sz val="9"/>
      <color theme="0"/>
      <name val="等线"/>
      <family val="2"/>
      <charset val="134"/>
    </font>
    <font>
      <b/>
      <sz val="9"/>
      <color theme="0"/>
      <name val="Arial"/>
      <family val="2"/>
      <charset val="134"/>
    </font>
    <font>
      <b/>
      <sz val="9"/>
      <name val="等线"/>
      <family val="2"/>
      <charset val="134"/>
    </font>
    <font>
      <b/>
      <sz val="9"/>
      <name val="Arial"/>
      <family val="2"/>
      <charset val="134"/>
    </font>
    <font>
      <sz val="9"/>
      <name val="Arial"/>
      <family val="2"/>
      <charset val="134"/>
    </font>
    <font>
      <sz val="9"/>
      <name val="等线"/>
      <family val="2"/>
      <charset val="134"/>
    </font>
    <font>
      <sz val="9"/>
      <color rgb="FF000000"/>
      <name val="宋体"/>
      <family val="3"/>
      <charset val="134"/>
    </font>
    <font>
      <sz val="9"/>
      <color theme="1"/>
      <name val="等线"/>
      <family val="2"/>
      <charset val="134"/>
    </font>
    <font>
      <sz val="8"/>
      <name val="等线"/>
      <family val="2"/>
      <charset val="134"/>
    </font>
    <font>
      <sz val="8"/>
      <name val="Arial"/>
      <family val="2"/>
      <charset val="134"/>
    </font>
    <font>
      <sz val="5"/>
      <color rgb="FF1C1F23"/>
      <name val="微软雅黑"/>
      <family val="2"/>
      <charset val="134"/>
    </font>
    <font>
      <sz val="11"/>
      <color theme="1"/>
      <name val="微软雅黑"/>
      <family val="2"/>
      <charset val="134"/>
    </font>
    <font>
      <sz val="11"/>
      <color theme="1"/>
      <name val="宋体"/>
      <family val="3"/>
      <charset val="134"/>
      <scheme val="minor"/>
    </font>
    <font>
      <b/>
      <sz val="10.5"/>
      <name val="宋体"/>
      <family val="3"/>
      <charset val="134"/>
    </font>
    <font>
      <b/>
      <sz val="9"/>
      <name val="宋体"/>
      <family val="3"/>
      <charset val="134"/>
    </font>
    <font>
      <sz val="9"/>
      <name val="宋体"/>
      <family val="3"/>
      <charset val="134"/>
    </font>
    <font>
      <b/>
      <sz val="14"/>
      <name val="宋体"/>
      <family val="3"/>
      <charset val="134"/>
    </font>
  </fonts>
  <fills count="12">
    <fill>
      <patternFill patternType="none"/>
    </fill>
    <fill>
      <patternFill patternType="gray125"/>
    </fill>
    <fill>
      <patternFill patternType="solid">
        <fgColor rgb="FFFFFFFF"/>
        <bgColor indexed="64"/>
      </patternFill>
    </fill>
    <fill>
      <patternFill patternType="solid">
        <fgColor theme="4" tint="0.79955442976165048"/>
        <bgColor indexed="64"/>
      </patternFill>
    </fill>
    <fill>
      <patternFill patternType="solid">
        <fgColor rgb="FF004E97"/>
        <bgColor indexed="64"/>
      </patternFill>
    </fill>
    <fill>
      <patternFill patternType="solid">
        <fgColor theme="2" tint="-9.9978637043366805E-2"/>
        <bgColor indexed="64"/>
      </patternFill>
    </fill>
    <fill>
      <patternFill patternType="solid">
        <fgColor theme="0"/>
        <bgColor indexed="64"/>
      </patternFill>
    </fill>
    <fill>
      <patternFill patternType="solid">
        <fgColor rgb="FF4A61A0"/>
        <bgColor indexed="64"/>
      </patternFill>
    </fill>
    <fill>
      <patternFill patternType="solid">
        <fgColor theme="0" tint="-4.9989318521683403E-2"/>
        <bgColor indexed="64"/>
      </patternFill>
    </fill>
    <fill>
      <patternFill patternType="solid">
        <fgColor rgb="FF78B0E2"/>
        <bgColor indexed="64"/>
      </patternFill>
    </fill>
    <fill>
      <patternFill patternType="solid">
        <fgColor rgb="FFD9E9F7"/>
        <bgColor indexed="64"/>
      </patternFill>
    </fill>
    <fill>
      <patternFill patternType="solid">
        <fgColor indexed="9"/>
        <bgColor indexed="64"/>
      </patternFill>
    </fill>
  </fills>
  <borders count="48">
    <border>
      <left/>
      <right/>
      <top/>
      <bottom/>
      <diagonal/>
    </border>
    <border>
      <left style="thin">
        <color theme="0" tint="-0.14944914090395825"/>
      </left>
      <right style="thin">
        <color theme="0" tint="-0.14944914090395825"/>
      </right>
      <top style="thin">
        <color theme="0" tint="-0.14944914090395825"/>
      </top>
      <bottom style="thin">
        <color theme="0" tint="-0.14944914090395825"/>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thin">
        <color theme="0"/>
      </top>
      <bottom/>
      <diagonal/>
    </border>
    <border>
      <left/>
      <right/>
      <top style="thin">
        <color theme="0"/>
      </top>
      <bottom style="medium">
        <color theme="0"/>
      </bottom>
      <diagonal/>
    </border>
    <border>
      <left/>
      <right style="medium">
        <color theme="0"/>
      </right>
      <top style="thin">
        <color theme="0"/>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bottom style="thin">
        <color theme="0" tint="-0.14957121494186223"/>
      </bottom>
      <diagonal/>
    </border>
    <border>
      <left style="thin">
        <color theme="0" tint="-0.14957121494186223"/>
      </left>
      <right style="thin">
        <color theme="0" tint="-0.14957121494186223"/>
      </right>
      <top style="thin">
        <color theme="0" tint="-0.14957121494186223"/>
      </top>
      <bottom style="thin">
        <color theme="0" tint="-0.14957121494186223"/>
      </bottom>
      <diagonal/>
    </border>
    <border>
      <left style="thin">
        <color theme="0" tint="-0.14957121494186223"/>
      </left>
      <right/>
      <top style="thin">
        <color theme="0" tint="-0.14957121494186223"/>
      </top>
      <bottom style="thin">
        <color theme="0" tint="-0.14957121494186223"/>
      </bottom>
      <diagonal/>
    </border>
    <border>
      <left/>
      <right/>
      <top style="thin">
        <color theme="0" tint="-0.14957121494186223"/>
      </top>
      <bottom style="thin">
        <color theme="0" tint="-0.14957121494186223"/>
      </bottom>
      <diagonal/>
    </border>
    <border>
      <left/>
      <right style="thin">
        <color theme="0" tint="-0.14957121494186223"/>
      </right>
      <top style="thin">
        <color theme="0" tint="-0.14957121494186223"/>
      </top>
      <bottom style="thin">
        <color theme="0" tint="-0.149571214941862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4E97"/>
      </left>
      <right/>
      <top style="medium">
        <color rgb="FF004E97"/>
      </top>
      <bottom/>
      <diagonal/>
    </border>
    <border>
      <left/>
      <right/>
      <top style="medium">
        <color rgb="FF004E97"/>
      </top>
      <bottom/>
      <diagonal/>
    </border>
    <border>
      <left/>
      <right style="medium">
        <color rgb="FF004E97"/>
      </right>
      <top style="medium">
        <color rgb="FF004E97"/>
      </top>
      <bottom/>
      <diagonal/>
    </border>
    <border>
      <left style="medium">
        <color rgb="FF004E97"/>
      </left>
      <right/>
      <top/>
      <bottom/>
      <diagonal/>
    </border>
    <border>
      <left/>
      <right style="medium">
        <color rgb="FF004E97"/>
      </right>
      <top/>
      <bottom/>
      <diagonal/>
    </border>
    <border>
      <left style="medium">
        <color rgb="FF004E97"/>
      </left>
      <right/>
      <top/>
      <bottom style="medium">
        <color rgb="FF004E97"/>
      </bottom>
      <diagonal/>
    </border>
    <border>
      <left/>
      <right/>
      <top/>
      <bottom style="medium">
        <color rgb="FF004E97"/>
      </bottom>
      <diagonal/>
    </border>
    <border>
      <left/>
      <right style="medium">
        <color rgb="FF004E97"/>
      </right>
      <top/>
      <bottom style="medium">
        <color rgb="FF004E97"/>
      </bottom>
      <diagonal/>
    </border>
    <border>
      <left/>
      <right/>
      <top style="medium">
        <color rgb="FF004E97"/>
      </top>
      <bottom style="medium">
        <color rgb="FF004E97"/>
      </bottom>
      <diagonal/>
    </border>
    <border>
      <left/>
      <right style="medium">
        <color rgb="FF004E97"/>
      </right>
      <top style="medium">
        <color rgb="FF004E97"/>
      </top>
      <bottom style="medium">
        <color rgb="FF004E97"/>
      </bottom>
      <diagonal/>
    </border>
  </borders>
  <cellStyleXfs count="8">
    <xf numFmtId="0" fontId="0" fillId="0" borderId="0">
      <alignment vertical="center"/>
    </xf>
    <xf numFmtId="9" fontId="12" fillId="0" borderId="0" applyFont="0" applyFill="0" applyBorder="0" applyAlignment="0" applyProtection="0">
      <alignment vertical="center"/>
    </xf>
    <xf numFmtId="0" fontId="2" fillId="0" borderId="0" applyNumberFormat="0" applyFill="0" applyBorder="0" applyAlignment="0" applyProtection="0">
      <alignment vertical="top"/>
      <protection locked="0"/>
    </xf>
    <xf numFmtId="0" fontId="12" fillId="0" borderId="0"/>
    <xf numFmtId="0" fontId="1" fillId="0" borderId="0">
      <alignment vertical="center"/>
    </xf>
    <xf numFmtId="0" fontId="12" fillId="0" borderId="0"/>
    <xf numFmtId="0" fontId="1" fillId="0" borderId="0">
      <alignment vertical="center"/>
    </xf>
    <xf numFmtId="0" fontId="67" fillId="0" borderId="0">
      <alignment vertical="center"/>
    </xf>
  </cellStyleXfs>
  <cellXfs count="370">
    <xf numFmtId="0" fontId="0" fillId="0" borderId="0" xfId="0">
      <alignment vertical="center"/>
    </xf>
    <xf numFmtId="0" fontId="6" fillId="0" borderId="0" xfId="0" applyFont="1" applyAlignment="1" applyProtection="1">
      <alignment horizontal="center" vertical="center"/>
      <protection locked="0"/>
    </xf>
    <xf numFmtId="0" fontId="0" fillId="0" borderId="27" xfId="0" applyBorder="1">
      <alignment vertical="center"/>
    </xf>
    <xf numFmtId="0" fontId="7" fillId="0" borderId="0" xfId="0" applyFont="1" applyAlignment="1" applyProtection="1">
      <alignment horizontal="center" vertical="center"/>
      <protection locked="0"/>
    </xf>
    <xf numFmtId="0" fontId="11" fillId="0" borderId="0" xfId="0" applyFont="1" applyProtection="1">
      <alignment vertical="center"/>
      <protection locked="0"/>
    </xf>
    <xf numFmtId="0" fontId="16" fillId="0" borderId="0" xfId="0" applyFont="1" applyAlignment="1">
      <alignment horizontal="center" vertical="center"/>
    </xf>
    <xf numFmtId="0" fontId="23" fillId="0" borderId="0" xfId="0" applyFont="1">
      <alignment vertical="center"/>
    </xf>
    <xf numFmtId="0" fontId="23" fillId="0" borderId="13" xfId="0" applyFont="1" applyBorder="1" applyAlignment="1">
      <alignment horizontal="center" vertical="center"/>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vertical="center" wrapText="1"/>
    </xf>
    <xf numFmtId="10" fontId="27" fillId="0" borderId="0" xfId="0" applyNumberFormat="1" applyFont="1" applyAlignment="1">
      <alignment vertical="center" wrapText="1"/>
    </xf>
    <xf numFmtId="0" fontId="28" fillId="0" borderId="0" xfId="2" applyFont="1" applyFill="1" applyBorder="1" applyAlignment="1" applyProtection="1">
      <alignment vertical="center"/>
    </xf>
    <xf numFmtId="0" fontId="23" fillId="0" borderId="0" xfId="0" applyFont="1" applyAlignment="1">
      <alignment horizontal="center" vertical="center"/>
    </xf>
    <xf numFmtId="10" fontId="23" fillId="0" borderId="0" xfId="0" applyNumberFormat="1" applyFont="1" applyAlignment="1">
      <alignment horizontal="center" vertical="center"/>
    </xf>
    <xf numFmtId="179" fontId="23" fillId="0" borderId="0" xfId="0" applyNumberFormat="1" applyFont="1" applyAlignment="1">
      <alignment horizontal="center" vertical="center"/>
    </xf>
    <xf numFmtId="180" fontId="23" fillId="0" borderId="0" xfId="0" applyNumberFormat="1" applyFont="1" applyAlignment="1">
      <alignment horizontal="center" vertical="center"/>
    </xf>
    <xf numFmtId="57" fontId="23" fillId="0" borderId="0" xfId="0" applyNumberFormat="1" applyFont="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180" fontId="26" fillId="0" borderId="0" xfId="0" applyNumberFormat="1" applyFont="1" applyAlignment="1">
      <alignment horizontal="center" vertical="center"/>
    </xf>
    <xf numFmtId="178" fontId="23" fillId="0" borderId="0" xfId="0" applyNumberFormat="1" applyFont="1" applyAlignment="1">
      <alignment horizontal="center" vertical="center"/>
    </xf>
    <xf numFmtId="179" fontId="23" fillId="0" borderId="0" xfId="1" applyNumberFormat="1" applyFont="1" applyFill="1" applyBorder="1" applyAlignment="1">
      <alignment horizontal="center" vertical="center"/>
    </xf>
    <xf numFmtId="0" fontId="23" fillId="0" borderId="0" xfId="0" applyFont="1" applyAlignment="1">
      <alignment horizontal="left" vertical="center"/>
    </xf>
    <xf numFmtId="0" fontId="23" fillId="0" borderId="0" xfId="1" applyNumberFormat="1" applyFont="1" applyFill="1" applyBorder="1" applyAlignment="1">
      <alignment horizontal="center" vertical="center"/>
    </xf>
    <xf numFmtId="49" fontId="23" fillId="0" borderId="0" xfId="0" applyNumberFormat="1" applyFont="1" applyAlignment="1">
      <alignment horizontal="center" vertical="center"/>
    </xf>
    <xf numFmtId="0" fontId="32" fillId="0" borderId="0" xfId="0" applyFont="1" applyAlignment="1">
      <alignment horizontal="center" vertical="center"/>
    </xf>
    <xf numFmtId="49" fontId="26" fillId="0" borderId="0" xfId="0" applyNumberFormat="1" applyFont="1" applyAlignment="1">
      <alignment horizontal="center" vertical="center"/>
    </xf>
    <xf numFmtId="180" fontId="23" fillId="0" borderId="0" xfId="1" applyNumberFormat="1" applyFont="1" applyFill="1" applyBorder="1" applyAlignment="1">
      <alignment horizontal="center" vertical="center"/>
    </xf>
    <xf numFmtId="9" fontId="23" fillId="0" borderId="0" xfId="1" applyFont="1" applyFill="1" applyBorder="1" applyAlignment="1">
      <alignment horizontal="center" vertical="center"/>
    </xf>
    <xf numFmtId="57" fontId="26" fillId="0" borderId="0" xfId="0" applyNumberFormat="1" applyFont="1" applyAlignment="1">
      <alignment horizontal="center" vertical="center"/>
    </xf>
    <xf numFmtId="0" fontId="26" fillId="0" borderId="0" xfId="1" applyNumberFormat="1" applyFont="1" applyFill="1" applyBorder="1" applyAlignment="1">
      <alignment horizontal="center" vertical="center"/>
    </xf>
    <xf numFmtId="179" fontId="26" fillId="0" borderId="0" xfId="1" applyNumberFormat="1" applyFont="1" applyFill="1" applyBorder="1" applyAlignment="1">
      <alignment horizontal="center" vertical="center"/>
    </xf>
    <xf numFmtId="179" fontId="26" fillId="0" borderId="0" xfId="0" applyNumberFormat="1" applyFont="1" applyAlignment="1">
      <alignment horizontal="center" vertical="center"/>
    </xf>
    <xf numFmtId="10" fontId="25" fillId="0" borderId="13" xfId="0" applyNumberFormat="1" applyFont="1" applyBorder="1" applyAlignment="1">
      <alignment horizontal="center" vertical="center" wrapText="1"/>
    </xf>
    <xf numFmtId="0" fontId="26" fillId="0" borderId="13" xfId="0" applyFont="1" applyBorder="1" applyAlignment="1">
      <alignment horizontal="center" vertical="center"/>
    </xf>
    <xf numFmtId="10" fontId="23" fillId="0" borderId="13" xfId="0" applyNumberFormat="1" applyFont="1" applyBorder="1" applyAlignment="1">
      <alignment horizontal="center" vertical="center"/>
    </xf>
    <xf numFmtId="176" fontId="23" fillId="0" borderId="13" xfId="0" applyNumberFormat="1" applyFont="1" applyBorder="1" applyAlignment="1">
      <alignment horizontal="center" vertical="center"/>
    </xf>
    <xf numFmtId="179" fontId="23" fillId="0" borderId="13" xfId="0" applyNumberFormat="1" applyFont="1" applyBorder="1" applyAlignment="1">
      <alignment horizontal="center" vertical="center"/>
    </xf>
    <xf numFmtId="180" fontId="23" fillId="0" borderId="13" xfId="0" applyNumberFormat="1" applyFont="1" applyBorder="1" applyAlignment="1">
      <alignment horizontal="center" vertical="center"/>
    </xf>
    <xf numFmtId="0" fontId="29" fillId="0" borderId="0" xfId="0" applyFont="1" applyAlignment="1">
      <alignment horizontal="center" vertical="center"/>
    </xf>
    <xf numFmtId="177" fontId="23" fillId="0" borderId="0" xfId="0" applyNumberFormat="1" applyFont="1" applyAlignment="1">
      <alignment horizontal="center" vertical="center"/>
    </xf>
    <xf numFmtId="9" fontId="23" fillId="0" borderId="0" xfId="0" applyNumberFormat="1" applyFont="1" applyAlignment="1">
      <alignment horizontal="center" vertical="center"/>
    </xf>
    <xf numFmtId="10" fontId="25" fillId="0" borderId="0" xfId="0" applyNumberFormat="1" applyFont="1" applyAlignment="1">
      <alignment horizontal="center" vertical="center" wrapText="1"/>
    </xf>
    <xf numFmtId="0" fontId="33" fillId="0" borderId="0" xfId="2" applyFont="1" applyFill="1" applyAlignment="1" applyProtection="1">
      <alignment vertical="center"/>
    </xf>
    <xf numFmtId="9" fontId="23" fillId="0" borderId="0" xfId="0" applyNumberFormat="1" applyFont="1">
      <alignment vertical="center"/>
    </xf>
    <xf numFmtId="176" fontId="23" fillId="0" borderId="0" xfId="0" applyNumberFormat="1" applyFont="1" applyAlignment="1">
      <alignment horizontal="center" vertical="center"/>
    </xf>
    <xf numFmtId="176" fontId="25" fillId="0" borderId="0" xfId="0" applyNumberFormat="1" applyFont="1" applyAlignment="1">
      <alignment horizontal="center" vertical="center"/>
    </xf>
    <xf numFmtId="2" fontId="25" fillId="0" borderId="0" xfId="0" applyNumberFormat="1" applyFont="1" applyAlignment="1">
      <alignment horizontal="center" vertical="center" wrapText="1"/>
    </xf>
    <xf numFmtId="179" fontId="25" fillId="0" borderId="0" xfId="0" applyNumberFormat="1" applyFont="1" applyAlignment="1">
      <alignment horizontal="center" vertical="center"/>
    </xf>
    <xf numFmtId="10" fontId="23" fillId="0" borderId="0" xfId="1" applyNumberFormat="1" applyFont="1" applyFill="1" applyAlignment="1">
      <alignment horizontal="center" vertical="center"/>
    </xf>
    <xf numFmtId="10" fontId="25" fillId="0" borderId="0" xfId="0" applyNumberFormat="1" applyFont="1" applyAlignment="1">
      <alignment horizontal="center" vertical="center"/>
    </xf>
    <xf numFmtId="10" fontId="25" fillId="0" borderId="0" xfId="1" applyNumberFormat="1" applyFont="1" applyFill="1" applyAlignment="1">
      <alignment horizontal="center" vertical="center"/>
    </xf>
    <xf numFmtId="179" fontId="23" fillId="0" borderId="0" xfId="1" applyNumberFormat="1" applyFont="1" applyFill="1" applyAlignment="1">
      <alignment horizontal="center" vertical="center"/>
    </xf>
    <xf numFmtId="10" fontId="23" fillId="0" borderId="0" xfId="0" applyNumberFormat="1" applyFont="1" applyAlignment="1">
      <alignment horizontal="center" vertical="center" wrapText="1"/>
    </xf>
    <xf numFmtId="2" fontId="25" fillId="0" borderId="0" xfId="0" applyNumberFormat="1" applyFont="1" applyAlignment="1">
      <alignment horizontal="center" vertical="center"/>
    </xf>
    <xf numFmtId="176" fontId="23" fillId="0" borderId="0" xfId="0" applyNumberFormat="1" applyFont="1" applyAlignment="1">
      <alignment horizontal="center" vertical="center" wrapText="1"/>
    </xf>
    <xf numFmtId="0" fontId="23" fillId="0" borderId="0" xfId="0" applyFont="1" applyAlignment="1">
      <alignment horizontal="center" vertical="center" wrapText="1"/>
    </xf>
    <xf numFmtId="181" fontId="23" fillId="0" borderId="0" xfId="0" applyNumberFormat="1" applyFont="1" applyAlignment="1">
      <alignment horizontal="center" vertical="center"/>
    </xf>
    <xf numFmtId="0" fontId="34" fillId="0" borderId="0" xfId="0" applyFont="1" applyAlignment="1">
      <alignment vertical="center" wrapText="1"/>
    </xf>
    <xf numFmtId="2" fontId="23" fillId="0" borderId="0" xfId="0" applyNumberFormat="1" applyFont="1" applyAlignment="1">
      <alignment horizontal="center" vertical="center"/>
    </xf>
    <xf numFmtId="0" fontId="30" fillId="0" borderId="0" xfId="0" applyFont="1" applyAlignment="1">
      <alignment horizontal="center" vertical="center" wrapText="1"/>
    </xf>
    <xf numFmtId="10" fontId="30" fillId="0" borderId="0" xfId="0" applyNumberFormat="1" applyFont="1" applyAlignment="1">
      <alignment horizontal="center" vertical="center" wrapText="1"/>
    </xf>
    <xf numFmtId="10" fontId="25" fillId="0" borderId="0" xfId="1" applyNumberFormat="1" applyFont="1" applyFill="1" applyBorder="1" applyAlignment="1">
      <alignment horizontal="center" vertical="center"/>
    </xf>
    <xf numFmtId="0" fontId="23" fillId="0" borderId="2" xfId="0" applyFont="1" applyBorder="1" applyAlignment="1">
      <alignment horizontal="center" vertical="center"/>
    </xf>
    <xf numFmtId="10" fontId="23" fillId="0" borderId="2" xfId="0" applyNumberFormat="1" applyFont="1" applyBorder="1" applyAlignment="1">
      <alignment horizontal="center" vertical="center"/>
    </xf>
    <xf numFmtId="0" fontId="23" fillId="0" borderId="2" xfId="0" applyFont="1" applyBorder="1" applyAlignment="1">
      <alignment horizontal="center" vertical="center" wrapText="1"/>
    </xf>
    <xf numFmtId="10" fontId="23" fillId="0" borderId="2" xfId="0" applyNumberFormat="1" applyFont="1" applyBorder="1" applyAlignment="1">
      <alignment horizontal="center" vertical="center" wrapText="1"/>
    </xf>
    <xf numFmtId="0" fontId="23" fillId="0" borderId="3" xfId="0" applyFont="1" applyBorder="1" applyAlignment="1">
      <alignment horizontal="center" vertical="center"/>
    </xf>
    <xf numFmtId="10" fontId="23" fillId="0" borderId="3" xfId="0" applyNumberFormat="1" applyFont="1" applyBorder="1" applyAlignment="1">
      <alignment horizontal="center" vertical="center"/>
    </xf>
    <xf numFmtId="0" fontId="23" fillId="0" borderId="3" xfId="0" applyFont="1" applyBorder="1" applyAlignment="1">
      <alignment horizontal="center" vertical="center" wrapText="1"/>
    </xf>
    <xf numFmtId="10" fontId="23" fillId="0" borderId="3" xfId="0" applyNumberFormat="1" applyFont="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xf>
    <xf numFmtId="0" fontId="25" fillId="0" borderId="7" xfId="0" applyFont="1" applyBorder="1" applyAlignment="1">
      <alignment horizontal="center" vertical="center"/>
    </xf>
    <xf numFmtId="10" fontId="25" fillId="0" borderId="8" xfId="0" applyNumberFormat="1" applyFont="1" applyBorder="1" applyAlignment="1">
      <alignment horizontal="center" vertical="center"/>
    </xf>
    <xf numFmtId="0" fontId="25" fillId="0" borderId="9" xfId="0" applyFont="1" applyBorder="1" applyAlignment="1">
      <alignment horizontal="center" vertical="center"/>
    </xf>
    <xf numFmtId="0" fontId="25" fillId="0" borderId="3" xfId="0" applyFont="1" applyBorder="1" applyAlignment="1">
      <alignment horizontal="center" vertical="center"/>
    </xf>
    <xf numFmtId="10" fontId="25" fillId="0" borderId="10" xfId="0" applyNumberFormat="1" applyFont="1" applyBorder="1" applyAlignment="1">
      <alignment horizontal="center" vertical="center"/>
    </xf>
    <xf numFmtId="0" fontId="25" fillId="0" borderId="11" xfId="0"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center" vertical="center" wrapText="1"/>
    </xf>
    <xf numFmtId="0" fontId="25" fillId="0" borderId="12" xfId="0" applyFont="1" applyBorder="1" applyAlignment="1">
      <alignment horizontal="center" vertical="center"/>
    </xf>
    <xf numFmtId="176" fontId="25" fillId="0" borderId="2" xfId="0" applyNumberFormat="1" applyFont="1" applyBorder="1" applyAlignment="1">
      <alignment horizontal="center" vertical="center"/>
    </xf>
    <xf numFmtId="10" fontId="25" fillId="0" borderId="12" xfId="0" applyNumberFormat="1" applyFont="1" applyBorder="1" applyAlignment="1">
      <alignment horizontal="center" vertical="center"/>
    </xf>
    <xf numFmtId="176" fontId="25" fillId="0" borderId="3" xfId="0" applyNumberFormat="1" applyFont="1" applyBorder="1" applyAlignment="1">
      <alignment horizontal="center" vertical="center"/>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10" fontId="25" fillId="0" borderId="6" xfId="0" applyNumberFormat="1" applyFont="1" applyBorder="1" applyAlignment="1">
      <alignment horizontal="center" vertical="center" wrapText="1"/>
    </xf>
    <xf numFmtId="0" fontId="25" fillId="0" borderId="11" xfId="0" applyFont="1" applyBorder="1" applyAlignment="1">
      <alignment horizontal="center" vertical="center" wrapText="1"/>
    </xf>
    <xf numFmtId="179" fontId="23" fillId="0" borderId="12" xfId="0" applyNumberFormat="1" applyFont="1" applyBorder="1" applyAlignment="1">
      <alignment horizontal="center" vertical="center"/>
    </xf>
    <xf numFmtId="0" fontId="25" fillId="0" borderId="7" xfId="0" applyFont="1" applyBorder="1" applyAlignment="1">
      <alignment horizontal="center" vertical="center" wrapText="1"/>
    </xf>
    <xf numFmtId="179" fontId="23" fillId="0" borderId="8" xfId="0" applyNumberFormat="1" applyFont="1" applyBorder="1" applyAlignment="1">
      <alignment horizontal="center" vertical="center"/>
    </xf>
    <xf numFmtId="0" fontId="25" fillId="0" borderId="9" xfId="0" applyFont="1" applyBorder="1" applyAlignment="1">
      <alignment horizontal="center" vertical="center" wrapText="1"/>
    </xf>
    <xf numFmtId="179" fontId="23" fillId="0" borderId="10" xfId="0" applyNumberFormat="1" applyFont="1" applyBorder="1" applyAlignment="1">
      <alignment horizontal="center" vertical="center"/>
    </xf>
    <xf numFmtId="0" fontId="25" fillId="0" borderId="12" xfId="0" applyFont="1" applyBorder="1" applyAlignment="1">
      <alignment horizontal="center" vertical="center" wrapText="1"/>
    </xf>
    <xf numFmtId="10" fontId="25" fillId="0" borderId="12" xfId="0" applyNumberFormat="1" applyFont="1" applyBorder="1" applyAlignment="1">
      <alignment horizontal="center" vertical="center" wrapText="1"/>
    </xf>
    <xf numFmtId="10" fontId="23" fillId="0" borderId="8" xfId="0" applyNumberFormat="1" applyFont="1" applyBorder="1" applyAlignment="1">
      <alignment horizontal="center" vertical="center"/>
    </xf>
    <xf numFmtId="10" fontId="25" fillId="0" borderId="2" xfId="0" applyNumberFormat="1" applyFont="1" applyBorder="1" applyAlignment="1">
      <alignment horizontal="center" vertical="center"/>
    </xf>
    <xf numFmtId="176" fontId="25" fillId="0" borderId="8" xfId="0" applyNumberFormat="1" applyFont="1" applyBorder="1" applyAlignment="1">
      <alignment horizontal="center" vertical="center"/>
    </xf>
    <xf numFmtId="4" fontId="23" fillId="0" borderId="8" xfId="0" applyNumberFormat="1" applyFont="1" applyBorder="1" applyAlignment="1">
      <alignment horizontal="center" vertical="center"/>
    </xf>
    <xf numFmtId="4" fontId="23" fillId="0" borderId="10" xfId="0" applyNumberFormat="1" applyFont="1" applyBorder="1" applyAlignment="1">
      <alignment horizontal="center" vertical="center"/>
    </xf>
    <xf numFmtId="4" fontId="23" fillId="0" borderId="0" xfId="0" applyNumberFormat="1" applyFont="1" applyAlignment="1">
      <alignment horizontal="center" vertical="center"/>
    </xf>
    <xf numFmtId="10" fontId="25" fillId="0" borderId="2" xfId="0" applyNumberFormat="1" applyFont="1" applyBorder="1" applyAlignment="1">
      <alignment horizontal="center" vertical="center" wrapText="1"/>
    </xf>
    <xf numFmtId="176" fontId="25" fillId="0" borderId="12" xfId="0" applyNumberFormat="1"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horizontal="center" vertical="center" wrapText="1"/>
    </xf>
    <xf numFmtId="0" fontId="25" fillId="0" borderId="10" xfId="0" applyFont="1" applyBorder="1" applyAlignment="1">
      <alignment horizontal="center" vertical="center"/>
    </xf>
    <xf numFmtId="176" fontId="25" fillId="0" borderId="0" xfId="0" applyNumberFormat="1" applyFont="1" applyAlignment="1">
      <alignment horizontal="center" vertical="center" wrapText="1"/>
    </xf>
    <xf numFmtId="179" fontId="25" fillId="0" borderId="0" xfId="0" applyNumberFormat="1" applyFont="1" applyAlignment="1">
      <alignment horizontal="center" vertical="center" wrapText="1"/>
    </xf>
    <xf numFmtId="176" fontId="25" fillId="0" borderId="3" xfId="0" applyNumberFormat="1" applyFont="1" applyBorder="1" applyAlignment="1">
      <alignment horizontal="center" vertical="center" wrapText="1"/>
    </xf>
    <xf numFmtId="179" fontId="25" fillId="0" borderId="3" xfId="0" applyNumberFormat="1" applyFont="1" applyBorder="1" applyAlignment="1">
      <alignment horizontal="center" vertical="center" wrapText="1"/>
    </xf>
    <xf numFmtId="10" fontId="25" fillId="0" borderId="3" xfId="0" applyNumberFormat="1" applyFont="1" applyBorder="1" applyAlignment="1">
      <alignment horizontal="center" vertical="center" wrapText="1"/>
    </xf>
    <xf numFmtId="0" fontId="35" fillId="0" borderId="0" xfId="0" applyFont="1" applyAlignment="1">
      <alignment horizontal="center" vertical="center"/>
    </xf>
    <xf numFmtId="182" fontId="23" fillId="0" borderId="0" xfId="0" applyNumberFormat="1" applyFont="1" applyAlignment="1">
      <alignment horizontal="center" vertical="center"/>
    </xf>
    <xf numFmtId="179" fontId="35" fillId="0" borderId="0" xfId="0" applyNumberFormat="1" applyFont="1" applyAlignment="1">
      <alignment horizontal="center" vertical="center"/>
    </xf>
    <xf numFmtId="0" fontId="36" fillId="0" borderId="1" xfId="0" applyFont="1" applyBorder="1" applyAlignment="1">
      <alignment horizontal="center" vertical="center"/>
    </xf>
    <xf numFmtId="0" fontId="35" fillId="0" borderId="1" xfId="0" applyFont="1" applyBorder="1" applyAlignment="1">
      <alignment horizontal="center" vertical="center"/>
    </xf>
    <xf numFmtId="180" fontId="35" fillId="0" borderId="0" xfId="0" applyNumberFormat="1" applyFont="1" applyAlignment="1">
      <alignment horizontal="center" vertical="center"/>
    </xf>
    <xf numFmtId="0" fontId="37" fillId="0" borderId="0" xfId="0" applyFont="1">
      <alignment vertical="center"/>
    </xf>
    <xf numFmtId="0" fontId="39" fillId="7" borderId="0" xfId="0" applyFont="1" applyFill="1" applyAlignment="1">
      <alignment horizontal="center" vertical="center"/>
    </xf>
    <xf numFmtId="0" fontId="36" fillId="0" borderId="0" xfId="6" applyFont="1" applyAlignment="1">
      <alignment horizontal="center" vertical="center"/>
    </xf>
    <xf numFmtId="178" fontId="35" fillId="0" borderId="0" xfId="0" applyNumberFormat="1" applyFont="1" applyAlignment="1">
      <alignment horizontal="center" vertical="center"/>
    </xf>
    <xf numFmtId="183" fontId="36" fillId="0" borderId="0" xfId="6" applyNumberFormat="1" applyFont="1" applyAlignment="1">
      <alignment horizontal="center" vertical="center"/>
    </xf>
    <xf numFmtId="184" fontId="36" fillId="0" borderId="0" xfId="6" applyNumberFormat="1" applyFont="1" applyAlignment="1">
      <alignment horizontal="center" vertical="center"/>
    </xf>
    <xf numFmtId="0" fontId="39" fillId="7" borderId="0" xfId="6" applyFont="1" applyFill="1" applyAlignment="1">
      <alignment horizontal="center" vertical="center"/>
    </xf>
    <xf numFmtId="0" fontId="26" fillId="0" borderId="0" xfId="6" applyFont="1" applyAlignment="1">
      <alignment horizontal="center" vertical="center"/>
    </xf>
    <xf numFmtId="180" fontId="26" fillId="0" borderId="0" xfId="6" applyNumberFormat="1" applyFont="1" applyAlignment="1">
      <alignment horizontal="center" vertical="center"/>
    </xf>
    <xf numFmtId="0" fontId="37" fillId="8" borderId="0" xfId="0" applyFont="1" applyFill="1" applyAlignment="1">
      <alignment horizontal="center" vertical="center"/>
    </xf>
    <xf numFmtId="0" fontId="23" fillId="8" borderId="0" xfId="0" applyFont="1" applyFill="1" applyAlignment="1">
      <alignment horizontal="center" vertical="center"/>
    </xf>
    <xf numFmtId="9" fontId="37" fillId="8" borderId="0" xfId="1" applyFont="1" applyFill="1" applyAlignment="1">
      <alignment horizontal="center" vertical="center"/>
    </xf>
    <xf numFmtId="9" fontId="40" fillId="8" borderId="0" xfId="1" applyFont="1" applyFill="1" applyBorder="1" applyAlignment="1">
      <alignment horizontal="center" vertical="center"/>
    </xf>
    <xf numFmtId="9" fontId="37" fillId="8" borderId="0" xfId="1" applyFont="1" applyFill="1" applyBorder="1" applyAlignment="1">
      <alignment horizontal="center" vertical="center"/>
    </xf>
    <xf numFmtId="0" fontId="40" fillId="8" borderId="0" xfId="0" applyFont="1" applyFill="1" applyAlignment="1">
      <alignment horizontal="center" vertical="center"/>
    </xf>
    <xf numFmtId="184" fontId="26" fillId="0" borderId="0" xfId="6" applyNumberFormat="1" applyFont="1" applyAlignment="1">
      <alignment horizontal="center" vertical="center"/>
    </xf>
    <xf numFmtId="9" fontId="40" fillId="8" borderId="0" xfId="1" applyFont="1" applyFill="1" applyAlignment="1">
      <alignment horizontal="center" vertical="center"/>
    </xf>
    <xf numFmtId="57" fontId="25" fillId="0" borderId="13" xfId="0" applyNumberFormat="1" applyFont="1" applyBorder="1" applyAlignment="1">
      <alignment horizontal="center" vertical="center" wrapText="1"/>
    </xf>
    <xf numFmtId="0" fontId="41" fillId="0" borderId="0" xfId="0" applyFont="1" applyAlignment="1">
      <alignment vertical="center" wrapText="1"/>
    </xf>
    <xf numFmtId="10" fontId="41" fillId="0" borderId="0" xfId="0" applyNumberFormat="1" applyFont="1" applyAlignment="1">
      <alignment vertical="center" wrapText="1"/>
    </xf>
    <xf numFmtId="0" fontId="27" fillId="0" borderId="0" xfId="0" applyFont="1" applyAlignment="1">
      <alignment horizontal="center" vertical="center" wrapText="1"/>
    </xf>
    <xf numFmtId="10" fontId="25" fillId="2" borderId="13" xfId="0" applyNumberFormat="1" applyFont="1" applyFill="1" applyBorder="1" applyAlignment="1">
      <alignment horizontal="center" vertical="center" wrapText="1"/>
    </xf>
    <xf numFmtId="57" fontId="25" fillId="2" borderId="13" xfId="0" applyNumberFormat="1" applyFont="1" applyFill="1" applyBorder="1" applyAlignment="1">
      <alignment horizontal="center" vertical="center" wrapText="1"/>
    </xf>
    <xf numFmtId="57" fontId="23" fillId="0" borderId="13" xfId="0" applyNumberFormat="1" applyFont="1" applyBorder="1" applyAlignment="1">
      <alignment horizontal="center" vertical="center"/>
    </xf>
    <xf numFmtId="0" fontId="25" fillId="6" borderId="0" xfId="0" applyFont="1" applyFill="1" applyAlignment="1">
      <alignment horizontal="center" vertical="center" wrapText="1"/>
    </xf>
    <xf numFmtId="178" fontId="23" fillId="6" borderId="0" xfId="0" applyNumberFormat="1" applyFont="1" applyFill="1" applyAlignment="1">
      <alignment horizontal="center" vertical="center"/>
    </xf>
    <xf numFmtId="0" fontId="25" fillId="8" borderId="0" xfId="0" applyFont="1" applyFill="1" applyAlignment="1">
      <alignment horizontal="center" vertical="center" wrapText="1"/>
    </xf>
    <xf numFmtId="178" fontId="23" fillId="8" borderId="0" xfId="0" applyNumberFormat="1" applyFont="1" applyFill="1" applyAlignment="1">
      <alignment horizontal="center" vertical="center"/>
    </xf>
    <xf numFmtId="0" fontId="25" fillId="2" borderId="0" xfId="0" applyFont="1" applyFill="1" applyAlignment="1">
      <alignment horizontal="center" vertical="center" wrapText="1"/>
    </xf>
    <xf numFmtId="178" fontId="23" fillId="2" borderId="0" xfId="0" applyNumberFormat="1" applyFont="1" applyFill="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30" fillId="2" borderId="0" xfId="0" applyFont="1" applyFill="1" applyAlignment="1">
      <alignment vertical="center" wrapText="1"/>
    </xf>
    <xf numFmtId="0" fontId="23" fillId="2" borderId="0" xfId="0" applyFont="1" applyFill="1" applyAlignment="1">
      <alignment horizontal="center" vertical="center"/>
    </xf>
    <xf numFmtId="0" fontId="23" fillId="0" borderId="0" xfId="0" applyFont="1" applyAlignment="1">
      <alignment vertical="center" wrapText="1"/>
    </xf>
    <xf numFmtId="10" fontId="23" fillId="0" borderId="0" xfId="0" applyNumberFormat="1" applyFont="1" applyAlignment="1">
      <alignment vertical="center" wrapText="1"/>
    </xf>
    <xf numFmtId="0" fontId="25" fillId="0" borderId="0" xfId="0" applyFont="1" applyAlignment="1">
      <alignment vertical="center" wrapText="1"/>
    </xf>
    <xf numFmtId="10" fontId="25" fillId="0" borderId="0" xfId="0" applyNumberFormat="1" applyFont="1" applyAlignment="1">
      <alignment vertical="center" wrapText="1"/>
    </xf>
    <xf numFmtId="0" fontId="25" fillId="2" borderId="13" xfId="0" applyFont="1" applyFill="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5" fillId="2" borderId="13" xfId="0" applyFont="1" applyFill="1" applyBorder="1" applyAlignment="1">
      <alignment vertical="center" wrapText="1"/>
    </xf>
    <xf numFmtId="10" fontId="25" fillId="2" borderId="13" xfId="0" applyNumberFormat="1" applyFont="1" applyFill="1" applyBorder="1" applyAlignment="1">
      <alignment vertical="center" wrapText="1"/>
    </xf>
    <xf numFmtId="0" fontId="25" fillId="2" borderId="13" xfId="0" applyFont="1" applyFill="1" applyBorder="1" applyAlignment="1">
      <alignment horizontal="center" vertical="center"/>
    </xf>
    <xf numFmtId="0" fontId="25" fillId="0" borderId="15" xfId="0" applyFont="1" applyBorder="1" applyAlignment="1">
      <alignment horizontal="center" vertical="center"/>
    </xf>
    <xf numFmtId="178" fontId="25" fillId="0" borderId="13" xfId="0" applyNumberFormat="1" applyFont="1" applyBorder="1" applyAlignment="1">
      <alignment horizontal="center" vertical="center"/>
    </xf>
    <xf numFmtId="179" fontId="25" fillId="0" borderId="13" xfId="0" applyNumberFormat="1" applyFont="1" applyBorder="1" applyAlignment="1">
      <alignment horizontal="center" vertical="center"/>
    </xf>
    <xf numFmtId="0" fontId="25" fillId="0" borderId="13" xfId="0" applyFont="1" applyBorder="1" applyAlignment="1">
      <alignment horizontal="center" vertical="center"/>
    </xf>
    <xf numFmtId="178" fontId="25" fillId="0" borderId="0" xfId="0" applyNumberFormat="1" applyFont="1" applyAlignment="1">
      <alignment horizontal="center" vertical="center"/>
    </xf>
    <xf numFmtId="0" fontId="23" fillId="0" borderId="14" xfId="0" applyFont="1" applyBorder="1" applyAlignment="1">
      <alignment horizontal="center" vertical="center"/>
    </xf>
    <xf numFmtId="57" fontId="23" fillId="0" borderId="16" xfId="0" applyNumberFormat="1" applyFont="1" applyBorder="1" applyAlignment="1">
      <alignment horizontal="center" vertical="center"/>
    </xf>
    <xf numFmtId="179" fontId="25" fillId="0" borderId="14" xfId="0" applyNumberFormat="1" applyFont="1" applyBorder="1" applyAlignment="1">
      <alignment horizontal="center" vertical="center"/>
    </xf>
    <xf numFmtId="178" fontId="25" fillId="0" borderId="16" xfId="0" applyNumberFormat="1" applyFont="1" applyBorder="1" applyAlignment="1">
      <alignment horizontal="center" vertical="center"/>
    </xf>
    <xf numFmtId="0" fontId="42" fillId="0" borderId="0" xfId="0" applyFont="1" applyAlignment="1">
      <alignment vertical="center" wrapText="1"/>
    </xf>
    <xf numFmtId="10" fontId="42" fillId="0" borderId="0" xfId="0" applyNumberFormat="1" applyFont="1" applyAlignment="1">
      <alignment vertical="center" wrapText="1"/>
    </xf>
    <xf numFmtId="178" fontId="25" fillId="0" borderId="17" xfId="0" applyNumberFormat="1" applyFont="1" applyBorder="1" applyAlignment="1">
      <alignment horizontal="center" vertical="center"/>
    </xf>
    <xf numFmtId="178" fontId="25" fillId="0" borderId="0" xfId="0" applyNumberFormat="1" applyFont="1" applyAlignment="1">
      <alignment horizontal="right" vertical="center"/>
    </xf>
    <xf numFmtId="179" fontId="25" fillId="0" borderId="0" xfId="0" applyNumberFormat="1" applyFont="1" applyAlignment="1">
      <alignment horizontal="right" vertical="center"/>
    </xf>
    <xf numFmtId="0" fontId="25" fillId="0" borderId="0" xfId="0" applyFont="1" applyAlignment="1">
      <alignment horizontal="right" vertical="center"/>
    </xf>
    <xf numFmtId="178" fontId="25" fillId="0" borderId="13" xfId="0" applyNumberFormat="1" applyFont="1" applyBorder="1" applyAlignment="1">
      <alignment horizontal="right" vertical="center"/>
    </xf>
    <xf numFmtId="179" fontId="25" fillId="0" borderId="13" xfId="0" applyNumberFormat="1" applyFont="1" applyBorder="1" applyAlignment="1">
      <alignment horizontal="right" vertical="center"/>
    </xf>
    <xf numFmtId="0" fontId="23" fillId="0" borderId="17" xfId="0" applyFont="1" applyBorder="1" applyAlignment="1">
      <alignment horizontal="center" vertical="center"/>
    </xf>
    <xf numFmtId="0" fontId="43" fillId="0" borderId="0" xfId="0" applyFont="1" applyAlignment="1">
      <alignment horizontal="left" vertical="center"/>
    </xf>
    <xf numFmtId="0" fontId="25" fillId="2" borderId="0" xfId="0" applyFont="1" applyFill="1" applyAlignment="1">
      <alignment horizontal="center" vertical="center"/>
    </xf>
    <xf numFmtId="0" fontId="29" fillId="2" borderId="0" xfId="0" applyFont="1" applyFill="1" applyAlignment="1">
      <alignment horizontal="center" vertical="center"/>
    </xf>
    <xf numFmtId="0" fontId="23" fillId="6" borderId="0" xfId="0" applyFont="1" applyFill="1" applyAlignment="1">
      <alignment horizontal="center" vertical="center"/>
    </xf>
    <xf numFmtId="176" fontId="23" fillId="8" borderId="0" xfId="0" applyNumberFormat="1" applyFont="1" applyFill="1" applyAlignment="1">
      <alignment horizontal="center" vertical="center"/>
    </xf>
    <xf numFmtId="176" fontId="23" fillId="6" borderId="0" xfId="0" applyNumberFormat="1" applyFont="1" applyFill="1" applyAlignment="1">
      <alignment horizontal="center" vertical="center"/>
    </xf>
    <xf numFmtId="49" fontId="23" fillId="0" borderId="0" xfId="0" applyNumberFormat="1" applyFont="1">
      <alignment vertical="center"/>
    </xf>
    <xf numFmtId="176" fontId="23" fillId="0" borderId="0" xfId="0" applyNumberFormat="1" applyFont="1">
      <alignment vertical="center"/>
    </xf>
    <xf numFmtId="178" fontId="35" fillId="0" borderId="0" xfId="0" applyNumberFormat="1" applyFont="1">
      <alignment vertical="center"/>
    </xf>
    <xf numFmtId="0" fontId="32" fillId="0" borderId="0" xfId="0" applyFont="1">
      <alignment vertical="center"/>
    </xf>
    <xf numFmtId="0" fontId="45" fillId="9" borderId="0" xfId="0" applyFont="1" applyFill="1" applyAlignment="1">
      <alignment horizontal="center" vertical="center"/>
    </xf>
    <xf numFmtId="49" fontId="39" fillId="9" borderId="0" xfId="0" applyNumberFormat="1" applyFont="1" applyFill="1" applyAlignment="1">
      <alignment horizontal="center" vertical="center"/>
    </xf>
    <xf numFmtId="0" fontId="39" fillId="9" borderId="0" xfId="0" applyFont="1" applyFill="1" applyAlignment="1">
      <alignment horizontal="center" vertical="center"/>
    </xf>
    <xf numFmtId="178" fontId="35" fillId="0" borderId="0" xfId="0" applyNumberFormat="1" applyFont="1" applyAlignment="1">
      <alignment horizontal="right" vertical="center"/>
    </xf>
    <xf numFmtId="9" fontId="40" fillId="0" borderId="0" xfId="1" applyFont="1" applyBorder="1" applyAlignment="1">
      <alignment horizontal="right" vertical="center"/>
    </xf>
    <xf numFmtId="9" fontId="37" fillId="0" borderId="0" xfId="1" applyFont="1" applyBorder="1" applyAlignment="1">
      <alignment horizontal="right" vertical="center"/>
    </xf>
    <xf numFmtId="9" fontId="35" fillId="0" borderId="0" xfId="1" applyFont="1" applyBorder="1" applyAlignment="1">
      <alignment horizontal="right" vertical="center"/>
    </xf>
    <xf numFmtId="0" fontId="23" fillId="8" borderId="0" xfId="0" applyFont="1" applyFill="1" applyAlignment="1">
      <alignment horizontal="right" vertical="center"/>
    </xf>
    <xf numFmtId="178" fontId="37" fillId="8" borderId="0" xfId="0" applyNumberFormat="1" applyFont="1" applyFill="1" applyAlignment="1">
      <alignment horizontal="right" vertical="center"/>
    </xf>
    <xf numFmtId="0" fontId="16" fillId="8" borderId="0" xfId="0" applyFont="1" applyFill="1" applyAlignment="1">
      <alignment horizontal="right" vertical="center"/>
    </xf>
    <xf numFmtId="180" fontId="37" fillId="8" borderId="0" xfId="0" applyNumberFormat="1" applyFont="1" applyFill="1" applyAlignment="1">
      <alignment horizontal="right" vertical="center"/>
    </xf>
    <xf numFmtId="178" fontId="23" fillId="0" borderId="0" xfId="0" applyNumberFormat="1" applyFont="1">
      <alignment vertical="center"/>
    </xf>
    <xf numFmtId="178" fontId="26" fillId="0" borderId="0" xfId="6" applyNumberFormat="1" applyFont="1" applyAlignment="1">
      <alignment horizontal="center" vertical="center"/>
    </xf>
    <xf numFmtId="179" fontId="23" fillId="0" borderId="0" xfId="1" applyNumberFormat="1" applyFont="1" applyBorder="1" applyAlignment="1">
      <alignment vertical="center"/>
    </xf>
    <xf numFmtId="179" fontId="23" fillId="0" borderId="0" xfId="1" applyNumberFormat="1" applyFont="1" applyBorder="1" applyAlignment="1">
      <alignment horizontal="center" vertical="center"/>
    </xf>
    <xf numFmtId="0" fontId="35" fillId="0" borderId="0" xfId="0" applyFont="1" applyAlignment="1">
      <alignment horizontal="right" vertical="center"/>
    </xf>
    <xf numFmtId="179" fontId="35" fillId="0" borderId="0" xfId="1" applyNumberFormat="1" applyFont="1" applyBorder="1" applyAlignment="1">
      <alignment vertical="center"/>
    </xf>
    <xf numFmtId="179" fontId="35" fillId="0" borderId="0" xfId="1" applyNumberFormat="1" applyFont="1" applyBorder="1" applyAlignment="1">
      <alignment horizontal="center" vertical="center"/>
    </xf>
    <xf numFmtId="179" fontId="35" fillId="0" borderId="0" xfId="0" applyNumberFormat="1" applyFont="1">
      <alignment vertical="center"/>
    </xf>
    <xf numFmtId="0" fontId="23" fillId="2" borderId="0" xfId="0" applyFont="1" applyFill="1">
      <alignment vertical="center"/>
    </xf>
    <xf numFmtId="0" fontId="37" fillId="2" borderId="0" xfId="0" applyFont="1" applyFill="1">
      <alignment vertical="center"/>
    </xf>
    <xf numFmtId="0" fontId="29" fillId="0" borderId="0" xfId="0" applyFont="1">
      <alignment vertical="center"/>
    </xf>
    <xf numFmtId="0" fontId="29" fillId="2" borderId="0" xfId="0" applyFont="1" applyFill="1">
      <alignment vertical="center"/>
    </xf>
    <xf numFmtId="0" fontId="23" fillId="0" borderId="13" xfId="0" applyFont="1" applyBorder="1">
      <alignment vertical="center"/>
    </xf>
    <xf numFmtId="179" fontId="23" fillId="0" borderId="0" xfId="0" applyNumberFormat="1" applyFont="1">
      <alignment vertical="center"/>
    </xf>
    <xf numFmtId="57" fontId="25" fillId="0" borderId="0" xfId="0" applyNumberFormat="1" applyFont="1" applyAlignment="1">
      <alignment horizontal="center" vertical="center"/>
    </xf>
    <xf numFmtId="49" fontId="25" fillId="0" borderId="0" xfId="0" applyNumberFormat="1" applyFont="1" applyAlignment="1">
      <alignment horizontal="center" vertical="center"/>
    </xf>
    <xf numFmtId="0" fontId="25" fillId="0" borderId="14" xfId="0" applyFont="1" applyBorder="1" applyAlignment="1">
      <alignment horizontal="center" vertical="center"/>
    </xf>
    <xf numFmtId="180" fontId="25" fillId="0" borderId="0" xfId="0" applyNumberFormat="1" applyFont="1" applyAlignment="1">
      <alignment horizontal="right" vertical="center"/>
    </xf>
    <xf numFmtId="180" fontId="25" fillId="0" borderId="13" xfId="0" applyNumberFormat="1" applyFont="1" applyBorder="1" applyAlignment="1">
      <alignment horizontal="center" vertical="center"/>
    </xf>
    <xf numFmtId="0" fontId="25" fillId="0" borderId="13" xfId="0" applyFont="1" applyBorder="1" applyAlignment="1">
      <alignment horizontal="right" vertical="center"/>
    </xf>
    <xf numFmtId="180" fontId="25" fillId="0" borderId="13" xfId="0" applyNumberFormat="1" applyFont="1" applyBorder="1" applyAlignment="1">
      <alignment horizontal="right" vertical="center"/>
    </xf>
    <xf numFmtId="177" fontId="23" fillId="0" borderId="0" xfId="0" applyNumberFormat="1" applyFont="1">
      <alignment vertical="center"/>
    </xf>
    <xf numFmtId="10" fontId="23" fillId="0" borderId="0" xfId="0" applyNumberFormat="1" applyFont="1">
      <alignment vertical="center"/>
    </xf>
    <xf numFmtId="2" fontId="23" fillId="0" borderId="0" xfId="0" applyNumberFormat="1" applyFont="1">
      <alignment vertical="center"/>
    </xf>
    <xf numFmtId="0" fontId="25" fillId="0" borderId="0" xfId="0" applyFont="1">
      <alignment vertical="center"/>
    </xf>
    <xf numFmtId="0" fontId="23" fillId="0" borderId="11" xfId="0" applyFont="1" applyBorder="1" applyAlignment="1">
      <alignment horizontal="center" vertical="center"/>
    </xf>
    <xf numFmtId="176" fontId="23" fillId="0" borderId="2"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0" xfId="0" applyNumberFormat="1" applyFont="1">
      <alignment vertical="center"/>
    </xf>
    <xf numFmtId="0" fontId="45" fillId="7" borderId="0" xfId="0" applyFont="1" applyFill="1" applyAlignment="1">
      <alignment horizontal="center" vertical="center"/>
    </xf>
    <xf numFmtId="0" fontId="43" fillId="0" borderId="0" xfId="3" applyFont="1" applyAlignment="1">
      <alignment horizontal="center" vertical="center"/>
    </xf>
    <xf numFmtId="178" fontId="37" fillId="0" borderId="0" xfId="0" applyNumberFormat="1" applyFont="1">
      <alignment vertical="center"/>
    </xf>
    <xf numFmtId="0" fontId="47" fillId="0" borderId="0" xfId="0" applyFont="1" applyAlignment="1">
      <alignment horizontal="center" vertical="center" wrapText="1"/>
    </xf>
    <xf numFmtId="0" fontId="37" fillId="0" borderId="0" xfId="0" applyFont="1" applyAlignment="1">
      <alignment horizontal="center" vertical="center"/>
    </xf>
    <xf numFmtId="177" fontId="43" fillId="0" borderId="0" xfId="3" applyNumberFormat="1" applyFont="1" applyAlignment="1">
      <alignment horizontal="right" vertical="center"/>
    </xf>
    <xf numFmtId="177" fontId="43" fillId="0" borderId="0" xfId="0" applyNumberFormat="1" applyFont="1" applyAlignment="1">
      <alignment horizontal="right" vertical="center"/>
    </xf>
    <xf numFmtId="0" fontId="43" fillId="0" borderId="0" xfId="0" applyFont="1" applyAlignment="1">
      <alignment horizontal="right" vertical="center"/>
    </xf>
    <xf numFmtId="0" fontId="43" fillId="0" borderId="0" xfId="3" applyFont="1" applyAlignment="1">
      <alignment horizontal="right" vertical="center"/>
    </xf>
    <xf numFmtId="178" fontId="43" fillId="0" borderId="0" xfId="3" applyNumberFormat="1" applyFont="1" applyAlignment="1">
      <alignment horizontal="right" vertical="center"/>
    </xf>
    <xf numFmtId="0" fontId="37" fillId="0" borderId="0" xfId="0" applyFont="1" applyAlignment="1">
      <alignment horizontal="right" vertical="center"/>
    </xf>
    <xf numFmtId="0" fontId="16" fillId="0" borderId="0" xfId="0" applyFont="1" applyAlignment="1">
      <alignment horizontal="right" vertical="center"/>
    </xf>
    <xf numFmtId="0" fontId="23" fillId="0" borderId="0" xfId="0" applyFont="1" applyAlignment="1">
      <alignment horizontal="right"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37" fillId="0" borderId="16" xfId="0" applyFont="1" applyBorder="1" applyAlignment="1">
      <alignment horizontal="center" vertical="center"/>
    </xf>
    <xf numFmtId="178" fontId="37" fillId="0" borderId="0" xfId="0" applyNumberFormat="1" applyFont="1" applyAlignment="1">
      <alignment horizontal="center" vertical="center"/>
    </xf>
    <xf numFmtId="179" fontId="37" fillId="0" borderId="34" xfId="0" applyNumberFormat="1" applyFont="1" applyBorder="1" applyAlignment="1">
      <alignment horizontal="center" vertical="center"/>
    </xf>
    <xf numFmtId="0" fontId="37" fillId="0" borderId="36" xfId="0" applyFont="1" applyBorder="1" applyAlignment="1">
      <alignment horizontal="center" vertical="center"/>
    </xf>
    <xf numFmtId="9" fontId="37" fillId="0" borderId="37" xfId="0" applyNumberFormat="1" applyFont="1" applyBorder="1" applyAlignment="1">
      <alignment horizontal="center" vertical="center"/>
    </xf>
    <xf numFmtId="180" fontId="37" fillId="0" borderId="0" xfId="0" applyNumberFormat="1" applyFont="1" applyAlignment="1">
      <alignment horizontal="center" vertical="center"/>
    </xf>
    <xf numFmtId="178" fontId="37" fillId="0" borderId="36" xfId="0" applyNumberFormat="1" applyFont="1" applyBorder="1" applyAlignment="1">
      <alignment horizontal="center" vertical="center"/>
    </xf>
    <xf numFmtId="0" fontId="50" fillId="5" borderId="21" xfId="0" applyFont="1" applyFill="1" applyBorder="1" applyProtection="1">
      <alignment vertical="center"/>
      <protection locked="0"/>
    </xf>
    <xf numFmtId="0" fontId="54" fillId="0" borderId="32" xfId="0" applyFont="1" applyBorder="1" applyAlignment="1">
      <alignment horizontal="center" vertical="center"/>
    </xf>
    <xf numFmtId="0" fontId="56" fillId="7" borderId="0" xfId="6" applyFont="1" applyFill="1" applyAlignment="1">
      <alignment horizontal="center" vertical="center"/>
    </xf>
    <xf numFmtId="0" fontId="56" fillId="7" borderId="0" xfId="0" applyFont="1" applyFill="1" applyAlignment="1">
      <alignment horizontal="center" vertical="center"/>
    </xf>
    <xf numFmtId="0" fontId="54" fillId="0" borderId="0" xfId="0" applyFont="1" applyAlignment="1">
      <alignment horizontal="center" vertical="center"/>
    </xf>
    <xf numFmtId="9" fontId="37" fillId="0" borderId="0" xfId="1" applyFont="1" applyFill="1" applyAlignment="1">
      <alignment horizontal="center" vertical="center"/>
    </xf>
    <xf numFmtId="0" fontId="40" fillId="0" borderId="0" xfId="0" applyFont="1" applyAlignment="1">
      <alignment horizontal="center" vertical="center"/>
    </xf>
    <xf numFmtId="0" fontId="59" fillId="0" borderId="0" xfId="0" applyFont="1" applyAlignment="1">
      <alignment horizontal="center" vertical="center"/>
    </xf>
    <xf numFmtId="0" fontId="59" fillId="0" borderId="0" xfId="0" applyFont="1" applyAlignment="1">
      <alignment horizontal="left" vertical="center"/>
    </xf>
    <xf numFmtId="0" fontId="17" fillId="0" borderId="13" xfId="0" applyFont="1" applyBorder="1" applyAlignment="1">
      <alignment horizontal="center" vertical="center" wrapText="1"/>
    </xf>
    <xf numFmtId="0" fontId="64" fillId="0" borderId="0" xfId="3" applyFont="1" applyAlignment="1">
      <alignment horizontal="center" vertical="center"/>
    </xf>
    <xf numFmtId="0" fontId="16" fillId="2" borderId="0" xfId="0" applyFont="1" applyFill="1">
      <alignment vertical="center"/>
    </xf>
    <xf numFmtId="177" fontId="16"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177" fontId="16" fillId="0" borderId="0" xfId="0" applyNumberFormat="1" applyFont="1">
      <alignment vertical="center"/>
    </xf>
    <xf numFmtId="9" fontId="16" fillId="0" borderId="0" xfId="0" applyNumberFormat="1" applyFont="1">
      <alignment vertical="center"/>
    </xf>
    <xf numFmtId="0" fontId="17" fillId="0" borderId="0" xfId="0" applyFont="1" applyAlignment="1">
      <alignment horizontal="center" vertical="center"/>
    </xf>
    <xf numFmtId="2" fontId="17" fillId="0" borderId="0" xfId="0" applyNumberFormat="1" applyFont="1" applyAlignment="1">
      <alignment horizontal="center" vertical="center" wrapText="1"/>
    </xf>
    <xf numFmtId="10" fontId="16" fillId="0" borderId="0" xfId="0" applyNumberFormat="1" applyFont="1" applyAlignment="1">
      <alignment horizontal="center" vertical="center"/>
    </xf>
    <xf numFmtId="179" fontId="17" fillId="0" borderId="0" xfId="0" applyNumberFormat="1" applyFont="1" applyAlignment="1">
      <alignment horizontal="center" vertical="center"/>
    </xf>
    <xf numFmtId="10" fontId="16" fillId="0" borderId="0" xfId="1" applyNumberFormat="1" applyFont="1" applyFill="1" applyAlignment="1">
      <alignment horizontal="center" vertical="center"/>
    </xf>
    <xf numFmtId="0" fontId="17" fillId="0" borderId="0" xfId="0" applyFont="1" applyAlignment="1">
      <alignment horizontal="center" vertical="center" wrapText="1"/>
    </xf>
    <xf numFmtId="179" fontId="16" fillId="0" borderId="0" xfId="0" applyNumberFormat="1" applyFont="1" applyAlignment="1">
      <alignment horizontal="center" vertical="center"/>
    </xf>
    <xf numFmtId="10" fontId="17" fillId="0" borderId="0" xfId="0" applyNumberFormat="1" applyFont="1" applyAlignment="1">
      <alignment horizontal="center" vertical="center"/>
    </xf>
    <xf numFmtId="179" fontId="16" fillId="0" borderId="0" xfId="0" applyNumberFormat="1" applyFont="1">
      <alignment vertical="center"/>
    </xf>
    <xf numFmtId="179" fontId="16" fillId="0" borderId="0" xfId="1" applyNumberFormat="1" applyFont="1" applyFill="1" applyAlignment="1">
      <alignment horizontal="center" vertical="center"/>
    </xf>
    <xf numFmtId="10" fontId="16" fillId="0" borderId="0" xfId="0" applyNumberFormat="1" applyFont="1" applyAlignment="1">
      <alignment horizontal="center" vertical="center" wrapText="1"/>
    </xf>
    <xf numFmtId="2" fontId="17" fillId="0" borderId="0" xfId="0" applyNumberFormat="1" applyFont="1" applyAlignment="1">
      <alignment horizontal="center" vertical="center"/>
    </xf>
    <xf numFmtId="176" fontId="16" fillId="0" borderId="0" xfId="0" applyNumberFormat="1" applyFont="1" applyAlignment="1">
      <alignment horizontal="center" vertical="center" wrapText="1"/>
    </xf>
    <xf numFmtId="10" fontId="17" fillId="0" borderId="0" xfId="1" applyNumberFormat="1" applyFont="1" applyFill="1" applyAlignment="1">
      <alignment horizontal="center" vertical="center"/>
    </xf>
    <xf numFmtId="0" fontId="16" fillId="0" borderId="0" xfId="0" applyFont="1" applyAlignment="1">
      <alignment horizontal="center" vertical="center" wrapText="1"/>
    </xf>
    <xf numFmtId="176" fontId="17" fillId="0" borderId="0" xfId="0" applyNumberFormat="1" applyFont="1" applyAlignment="1">
      <alignment horizontal="center" vertical="center"/>
    </xf>
    <xf numFmtId="181" fontId="16" fillId="0" borderId="0" xfId="0" applyNumberFormat="1" applyFont="1" applyAlignment="1">
      <alignment horizontal="center" vertical="center"/>
    </xf>
    <xf numFmtId="0" fontId="65" fillId="0" borderId="0" xfId="0" applyFont="1" applyAlignment="1">
      <alignment vertical="center" wrapText="1"/>
    </xf>
    <xf numFmtId="0" fontId="66" fillId="0" borderId="0" xfId="0" applyFont="1">
      <alignment vertical="center"/>
    </xf>
    <xf numFmtId="0" fontId="17" fillId="6" borderId="0" xfId="0" applyFont="1" applyFill="1" applyAlignment="1">
      <alignment horizontal="center" vertical="center" wrapText="1"/>
    </xf>
    <xf numFmtId="0" fontId="19" fillId="0" borderId="0" xfId="0" applyFont="1" applyAlignment="1">
      <alignment horizontal="left" vertical="center"/>
    </xf>
    <xf numFmtId="0" fontId="20" fillId="7" borderId="0" xfId="6" applyFont="1" applyFill="1" applyAlignment="1">
      <alignment horizontal="center" vertical="center"/>
    </xf>
    <xf numFmtId="0" fontId="49" fillId="5" borderId="19" xfId="0" applyFont="1" applyFill="1" applyBorder="1" applyAlignment="1" applyProtection="1">
      <alignment horizontal="center" vertical="center"/>
      <protection locked="0"/>
    </xf>
    <xf numFmtId="0" fontId="67" fillId="0" borderId="0" xfId="7">
      <alignment vertical="center"/>
    </xf>
    <xf numFmtId="0" fontId="69" fillId="11" borderId="0" xfId="7" applyFont="1" applyFill="1" applyAlignment="1">
      <alignment horizontal="justify" vertical="center" wrapText="1"/>
    </xf>
    <xf numFmtId="0" fontId="69" fillId="11" borderId="47" xfId="7" applyFont="1" applyFill="1" applyBorder="1" applyAlignment="1">
      <alignment horizontal="justify" vertical="center" wrapText="1"/>
    </xf>
    <xf numFmtId="0" fontId="70" fillId="11" borderId="0" xfId="7" applyFont="1" applyFill="1" applyAlignment="1">
      <alignment vertical="center" wrapText="1"/>
    </xf>
    <xf numFmtId="0" fontId="70" fillId="11" borderId="46" xfId="7" applyFont="1" applyFill="1" applyBorder="1" applyAlignment="1">
      <alignment vertical="center" wrapText="1"/>
    </xf>
    <xf numFmtId="0" fontId="67" fillId="11" borderId="0" xfId="7" applyFill="1">
      <alignment vertical="center"/>
    </xf>
    <xf numFmtId="0" fontId="67" fillId="11" borderId="0" xfId="7" applyFill="1" applyAlignment="1">
      <alignment horizontal="left" vertical="center" wrapText="1"/>
    </xf>
    <xf numFmtId="0" fontId="67" fillId="11" borderId="0" xfId="7" applyFill="1" applyAlignment="1">
      <alignment horizontal="left" vertical="center"/>
    </xf>
    <xf numFmtId="0" fontId="67" fillId="11" borderId="42" xfId="7" applyFill="1" applyBorder="1" applyAlignment="1">
      <alignment horizontal="left" vertical="center"/>
    </xf>
    <xf numFmtId="0" fontId="70" fillId="11" borderId="46" xfId="7" applyFont="1" applyFill="1" applyBorder="1" applyAlignment="1">
      <alignment horizontal="justify" vertical="center" wrapText="1"/>
    </xf>
    <xf numFmtId="0" fontId="70" fillId="11" borderId="47" xfId="7" applyFont="1" applyFill="1" applyBorder="1" applyAlignment="1">
      <alignment horizontal="justify" vertical="center" wrapText="1"/>
    </xf>
    <xf numFmtId="0" fontId="10" fillId="5" borderId="0" xfId="2" applyFont="1" applyFill="1" applyAlignment="1" applyProtection="1">
      <alignment horizontal="center" vertical="center"/>
      <protection locked="0"/>
    </xf>
    <xf numFmtId="0" fontId="52" fillId="6" borderId="28" xfId="2" applyFont="1" applyFill="1" applyBorder="1" applyAlignment="1" applyProtection="1">
      <alignment horizontal="center" vertical="center" wrapText="1"/>
    </xf>
    <xf numFmtId="0" fontId="52" fillId="6" borderId="29" xfId="2" applyFont="1" applyFill="1" applyBorder="1" applyAlignment="1" applyProtection="1">
      <alignment horizontal="center" vertical="center" wrapText="1"/>
    </xf>
    <xf numFmtId="0" fontId="52" fillId="6" borderId="30" xfId="2" applyFont="1" applyFill="1" applyBorder="1" applyAlignment="1" applyProtection="1">
      <alignment horizontal="center" vertical="center" wrapText="1"/>
    </xf>
    <xf numFmtId="0" fontId="50" fillId="5" borderId="22" xfId="0" applyFont="1" applyFill="1" applyBorder="1" applyAlignment="1" applyProtection="1">
      <alignment horizontal="center" vertical="center"/>
      <protection locked="0"/>
    </xf>
    <xf numFmtId="0" fontId="50" fillId="5" borderId="19" xfId="0" applyFont="1" applyFill="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5" fillId="5" borderId="20"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25" xfId="0" applyFont="1" applyFill="1" applyBorder="1" applyAlignment="1">
      <alignment horizontal="center" vertical="center"/>
    </xf>
    <xf numFmtId="0" fontId="9" fillId="6" borderId="28" xfId="2" applyFont="1" applyFill="1" applyBorder="1" applyAlignment="1" applyProtection="1">
      <alignment horizontal="center" vertical="center" wrapText="1"/>
    </xf>
    <xf numFmtId="0" fontId="9" fillId="6" borderId="29" xfId="2" applyFont="1" applyFill="1" applyBorder="1" applyAlignment="1" applyProtection="1">
      <alignment horizontal="center" vertical="center" wrapText="1"/>
    </xf>
    <xf numFmtId="0" fontId="9" fillId="6" borderId="30" xfId="2"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4" fillId="4" borderId="0" xfId="0" applyFont="1" applyFill="1" applyAlignment="1">
      <alignment horizontal="center" vertical="center"/>
    </xf>
    <xf numFmtId="0" fontId="0" fillId="4" borderId="0" xfId="0" applyFill="1" applyAlignment="1">
      <alignment horizontal="center" vertical="center"/>
    </xf>
    <xf numFmtId="49" fontId="48" fillId="4" borderId="0" xfId="0" applyNumberFormat="1" applyFont="1" applyFill="1" applyAlignment="1" applyProtection="1">
      <alignment horizontal="center" vertical="center"/>
      <protection locked="0"/>
    </xf>
    <xf numFmtId="0" fontId="58" fillId="10" borderId="0" xfId="0" applyFont="1" applyFill="1" applyAlignment="1">
      <alignment horizontal="center" vertical="center"/>
    </xf>
    <xf numFmtId="0" fontId="36" fillId="10" borderId="0" xfId="0" applyFont="1" applyFill="1" applyAlignment="1">
      <alignment horizontal="center" vertical="center"/>
    </xf>
    <xf numFmtId="0" fontId="21" fillId="10" borderId="0" xfId="0" applyFont="1" applyFill="1" applyAlignment="1">
      <alignment horizontal="center" vertical="center"/>
    </xf>
    <xf numFmtId="0" fontId="45" fillId="7" borderId="0" xfId="0" applyFont="1" applyFill="1" applyAlignment="1">
      <alignment horizontal="center" vertical="center"/>
    </xf>
    <xf numFmtId="0" fontId="37" fillId="0" borderId="16" xfId="0" applyFont="1" applyBorder="1" applyAlignment="1">
      <alignment horizontal="center" vertical="center"/>
    </xf>
    <xf numFmtId="0" fontId="37" fillId="0" borderId="0" xfId="0" applyFont="1" applyAlignment="1">
      <alignment horizontal="center"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178" fontId="23" fillId="2" borderId="0" xfId="0" applyNumberFormat="1" applyFont="1" applyFill="1" applyAlignment="1">
      <alignment horizontal="center" vertical="center"/>
    </xf>
    <xf numFmtId="178" fontId="23" fillId="8" borderId="0" xfId="0" applyNumberFormat="1" applyFont="1" applyFill="1" applyAlignment="1">
      <alignment horizontal="center" vertical="center"/>
    </xf>
    <xf numFmtId="0" fontId="39" fillId="7" borderId="0" xfId="0" applyFont="1" applyFill="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3" xfId="0" applyFont="1" applyBorder="1" applyAlignment="1">
      <alignment horizontal="center" vertical="center"/>
    </xf>
    <xf numFmtId="0" fontId="69" fillId="11" borderId="0" xfId="7" applyFont="1" applyFill="1" applyAlignment="1">
      <alignment horizontal="justify" vertical="center" wrapText="1"/>
    </xf>
    <xf numFmtId="0" fontId="69" fillId="11" borderId="44" xfId="7" applyFont="1" applyFill="1" applyBorder="1" applyAlignment="1">
      <alignment horizontal="justify" vertical="center" wrapText="1"/>
    </xf>
    <xf numFmtId="0" fontId="70" fillId="11" borderId="46" xfId="7" applyFont="1" applyFill="1" applyBorder="1" applyAlignment="1">
      <alignment horizontal="center" vertical="center" wrapText="1"/>
    </xf>
    <xf numFmtId="0" fontId="70" fillId="11" borderId="47" xfId="7" applyFont="1" applyFill="1" applyBorder="1" applyAlignment="1">
      <alignment horizontal="center" vertical="center" wrapText="1"/>
    </xf>
    <xf numFmtId="0" fontId="71" fillId="11" borderId="0" xfId="7" applyFont="1" applyFill="1" applyAlignment="1">
      <alignment horizontal="left" vertical="center"/>
    </xf>
    <xf numFmtId="0" fontId="71" fillId="11" borderId="42" xfId="7" applyFont="1" applyFill="1" applyBorder="1" applyAlignment="1">
      <alignment horizontal="left" vertical="center"/>
    </xf>
    <xf numFmtId="0" fontId="67" fillId="11" borderId="46" xfId="7" applyFill="1" applyBorder="1" applyAlignment="1">
      <alignment horizontal="center" vertical="center"/>
    </xf>
    <xf numFmtId="0" fontId="69" fillId="11" borderId="0" xfId="7" applyFont="1" applyFill="1" applyAlignment="1">
      <alignment horizontal="justify" vertical="top" wrapText="1"/>
    </xf>
    <xf numFmtId="0" fontId="69" fillId="11" borderId="46" xfId="7" applyFont="1" applyFill="1" applyBorder="1" applyAlignment="1">
      <alignment horizontal="left" vertical="center" wrapText="1"/>
    </xf>
    <xf numFmtId="0" fontId="69" fillId="11" borderId="39" xfId="7" applyFont="1" applyFill="1" applyBorder="1" applyAlignment="1">
      <alignment horizontal="center" vertical="center" wrapText="1"/>
    </xf>
    <xf numFmtId="0" fontId="69" fillId="11" borderId="0" xfId="7" applyFont="1" applyFill="1" applyAlignment="1">
      <alignment horizontal="center" vertical="center" wrapText="1"/>
    </xf>
    <xf numFmtId="0" fontId="69" fillId="11" borderId="44" xfId="7" applyFont="1" applyFill="1" applyBorder="1" applyAlignment="1">
      <alignment horizontal="center" vertical="center" wrapText="1"/>
    </xf>
    <xf numFmtId="0" fontId="70" fillId="11" borderId="41" xfId="7" applyFont="1" applyFill="1" applyBorder="1" applyAlignment="1">
      <alignment horizontal="left" vertical="center" wrapText="1"/>
    </xf>
    <xf numFmtId="0" fontId="70" fillId="11" borderId="0" xfId="7" applyFont="1" applyFill="1" applyAlignment="1">
      <alignment horizontal="left" vertical="center" wrapText="1"/>
    </xf>
    <xf numFmtId="0" fontId="70" fillId="11" borderId="42" xfId="7" applyFont="1" applyFill="1" applyBorder="1" applyAlignment="1">
      <alignment horizontal="left" vertical="center" wrapText="1"/>
    </xf>
    <xf numFmtId="0" fontId="70" fillId="11" borderId="43" xfId="7" applyFont="1" applyFill="1" applyBorder="1" applyAlignment="1">
      <alignment horizontal="left" vertical="center" wrapText="1"/>
    </xf>
    <xf numFmtId="0" fontId="70" fillId="11" borderId="44" xfId="7" applyFont="1" applyFill="1" applyBorder="1" applyAlignment="1">
      <alignment horizontal="left" vertical="center" wrapText="1"/>
    </xf>
    <xf numFmtId="0" fontId="70" fillId="11" borderId="45" xfId="7" applyFont="1" applyFill="1" applyBorder="1" applyAlignment="1">
      <alignment horizontal="left" vertical="center" wrapText="1"/>
    </xf>
    <xf numFmtId="0" fontId="69" fillId="11" borderId="46" xfId="7" applyFont="1" applyFill="1" applyBorder="1" applyAlignment="1">
      <alignment horizontal="left" vertical="center"/>
    </xf>
    <xf numFmtId="0" fontId="69" fillId="11" borderId="39" xfId="7" applyFont="1" applyFill="1" applyBorder="1" applyAlignment="1">
      <alignment horizontal="left" vertical="center"/>
    </xf>
    <xf numFmtId="0" fontId="69" fillId="11" borderId="47" xfId="7" applyFont="1" applyFill="1" applyBorder="1" applyAlignment="1">
      <alignment horizontal="left" vertical="center"/>
    </xf>
    <xf numFmtId="0" fontId="68" fillId="11" borderId="38" xfId="7" applyFont="1" applyFill="1" applyBorder="1" applyAlignment="1">
      <alignment horizontal="left" vertical="center" wrapText="1"/>
    </xf>
    <xf numFmtId="0" fontId="68" fillId="11" borderId="39" xfId="7" applyFont="1" applyFill="1" applyBorder="1" applyAlignment="1">
      <alignment horizontal="left" vertical="center" wrapText="1"/>
    </xf>
    <xf numFmtId="0" fontId="68" fillId="11" borderId="40" xfId="7" applyFont="1" applyFill="1" applyBorder="1" applyAlignment="1">
      <alignment horizontal="left" vertical="center" wrapText="1"/>
    </xf>
    <xf numFmtId="0" fontId="69" fillId="11" borderId="41" xfId="7" applyFont="1" applyFill="1" applyBorder="1" applyAlignment="1">
      <alignment horizontal="left" vertical="center" wrapText="1"/>
    </xf>
    <xf numFmtId="0" fontId="69" fillId="11" borderId="0" xfId="7" applyFont="1" applyFill="1" applyAlignment="1">
      <alignment horizontal="left" vertical="center" wrapText="1"/>
    </xf>
    <xf numFmtId="0" fontId="69" fillId="11" borderId="42" xfId="7" applyFont="1" applyFill="1" applyBorder="1" applyAlignment="1">
      <alignment horizontal="left" vertical="center" wrapText="1"/>
    </xf>
  </cellXfs>
  <cellStyles count="8">
    <cellStyle name="百分比" xfId="1" builtinId="5"/>
    <cellStyle name="常规" xfId="0" builtinId="0"/>
    <cellStyle name="常规 2" xfId="3" xr:uid="{00000000-0005-0000-0000-000031000000}"/>
    <cellStyle name="常规 3" xfId="4" xr:uid="{00000000-0005-0000-0000-000032000000}"/>
    <cellStyle name="常规 4" xfId="5" xr:uid="{00000000-0005-0000-0000-000033000000}"/>
    <cellStyle name="常规 5" xfId="7" xr:uid="{7813EA0F-6AB9-472C-8548-3B1692326B3E}"/>
    <cellStyle name="常规 6 2" xfId="6" xr:uid="{00000000-0005-0000-0000-000034000000}"/>
    <cellStyle name="超链接" xfId="2" builtinId="8"/>
  </cellStyles>
  <dxfs count="0"/>
  <tableStyles count="0" defaultTableStyle="TableStyleMedium2" defaultPivotStyle="PivotStyleLight16"/>
  <colors>
    <mruColors>
      <color rgb="FF78B0E2"/>
      <color rgb="FFD9E9F7"/>
      <color rgb="FFFFFFFF"/>
      <color rgb="FF4A61A0"/>
      <color rgb="FF4472C4"/>
      <color rgb="FF004E97"/>
      <color rgb="FF59C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790041</xdr:colOff>
      <xdr:row>0</xdr:row>
      <xdr:rowOff>21945</xdr:rowOff>
    </xdr:from>
    <xdr:to>
      <xdr:col>2</xdr:col>
      <xdr:colOff>121523</xdr:colOff>
      <xdr:row>0</xdr:row>
      <xdr:rowOff>730605</xdr:rowOff>
    </xdr:to>
    <xdr:pic>
      <xdr:nvPicPr>
        <xdr:cNvPr id="3" name="图片 2" descr="logo-海通上下@2x">
          <a:extLst>
            <a:ext uri="{FF2B5EF4-FFF2-40B4-BE49-F238E27FC236}">
              <a16:creationId xmlns:a16="http://schemas.microsoft.com/office/drawing/2014/main" id="{4C1BECF6-F835-4D34-882E-951A857E8CA0}"/>
            </a:ext>
          </a:extLst>
        </xdr:cNvPr>
        <xdr:cNvPicPr>
          <a:picLocks noChangeAspect="1"/>
        </xdr:cNvPicPr>
      </xdr:nvPicPr>
      <xdr:blipFill>
        <a:blip xmlns:r="http://schemas.openxmlformats.org/officeDocument/2006/relationships" r:embed="rId1"/>
        <a:stretch>
          <a:fillRect/>
        </a:stretch>
      </xdr:blipFill>
      <xdr:spPr>
        <a:xfrm>
          <a:off x="790041" y="21945"/>
          <a:ext cx="1189543" cy="70866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uqiang@gtht.com" TargetMode="External"/><Relationship Id="rId2" Type="http://schemas.openxmlformats.org/officeDocument/2006/relationships/hyperlink" Target="mailto:liyiwen@gtht.com" TargetMode="External"/><Relationship Id="rId1" Type="http://schemas.openxmlformats.org/officeDocument/2006/relationships/hyperlink" Target="mailto:moujunyu@gtht.com"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workbookViewId="0">
      <selection activeCell="A2" sqref="A2:C3"/>
    </sheetView>
  </sheetViews>
  <sheetFormatPr defaultColWidth="9" defaultRowHeight="14.4" x14ac:dyDescent="0.25"/>
  <cols>
    <col min="1" max="2" width="12.69921875" customWidth="1"/>
    <col min="3" max="3" width="17.5" customWidth="1"/>
    <col min="4" max="4" width="23.5" customWidth="1"/>
    <col min="5" max="5" width="5.09765625" customWidth="1"/>
    <col min="6" max="6" width="15.09765625" customWidth="1"/>
    <col min="7" max="7" width="5.59765625" customWidth="1"/>
    <col min="8" max="8" width="23.8984375" customWidth="1"/>
    <col min="10" max="10" width="9" customWidth="1"/>
  </cols>
  <sheetData>
    <row r="1" spans="1:14" ht="58.5" customHeight="1" x14ac:dyDescent="0.25">
      <c r="A1" s="325"/>
      <c r="B1" s="325"/>
      <c r="C1" s="325"/>
      <c r="D1" s="326" t="s">
        <v>0</v>
      </c>
      <c r="E1" s="327"/>
      <c r="F1" s="327"/>
      <c r="G1" s="327"/>
      <c r="H1" s="327"/>
      <c r="I1" s="327"/>
      <c r="J1" s="327"/>
      <c r="K1" s="327"/>
    </row>
    <row r="2" spans="1:14" ht="13.55" customHeight="1" x14ac:dyDescent="0.25">
      <c r="A2" s="328" t="s">
        <v>1045</v>
      </c>
      <c r="B2" s="328"/>
      <c r="C2" s="328"/>
      <c r="D2" s="325" t="s">
        <v>1</v>
      </c>
      <c r="E2" s="325"/>
      <c r="F2" s="325"/>
      <c r="G2" s="325"/>
      <c r="H2" s="325"/>
      <c r="I2" s="325"/>
      <c r="J2" s="325"/>
      <c r="K2" s="325"/>
    </row>
    <row r="3" spans="1:14" x14ac:dyDescent="0.25">
      <c r="A3" s="328"/>
      <c r="B3" s="328"/>
      <c r="C3" s="328"/>
      <c r="D3" s="325"/>
      <c r="E3" s="325"/>
      <c r="F3" s="325"/>
      <c r="G3" s="325"/>
      <c r="H3" s="325"/>
      <c r="I3" s="325"/>
      <c r="J3" s="325"/>
      <c r="K3" s="325"/>
    </row>
    <row r="4" spans="1:14" ht="15" customHeight="1" x14ac:dyDescent="0.25">
      <c r="A4" s="318" t="s">
        <v>2</v>
      </c>
      <c r="B4" s="319"/>
      <c r="C4" s="316" t="s">
        <v>3</v>
      </c>
      <c r="D4" s="297" t="s">
        <v>988</v>
      </c>
      <c r="E4" s="258" t="s">
        <v>848</v>
      </c>
      <c r="F4" s="258" t="s">
        <v>4</v>
      </c>
      <c r="G4" s="258" t="s">
        <v>849</v>
      </c>
      <c r="H4" s="258" t="s">
        <v>5</v>
      </c>
      <c r="I4" s="258" t="s">
        <v>850</v>
      </c>
      <c r="J4" s="313" t="s">
        <v>6</v>
      </c>
      <c r="K4" s="314"/>
    </row>
    <row r="5" spans="1:14" ht="15" customHeight="1" x14ac:dyDescent="0.25">
      <c r="A5" s="320"/>
      <c r="B5" s="321"/>
      <c r="C5" s="317"/>
      <c r="D5" s="297" t="s">
        <v>989</v>
      </c>
      <c r="E5" s="258" t="s">
        <v>848</v>
      </c>
      <c r="F5" s="258" t="s">
        <v>7</v>
      </c>
      <c r="G5" s="258" t="s">
        <v>849</v>
      </c>
      <c r="H5" s="258" t="s">
        <v>8</v>
      </c>
      <c r="I5" s="258" t="s">
        <v>850</v>
      </c>
      <c r="J5" s="313" t="s">
        <v>9</v>
      </c>
      <c r="K5" s="314"/>
    </row>
    <row r="6" spans="1:14" ht="15" customHeight="1" x14ac:dyDescent="0.25">
      <c r="A6" s="320"/>
      <c r="B6" s="321"/>
      <c r="C6" s="317"/>
      <c r="D6" s="297" t="s">
        <v>990</v>
      </c>
      <c r="E6" s="258" t="s">
        <v>848</v>
      </c>
      <c r="F6" s="258" t="s">
        <v>63</v>
      </c>
      <c r="G6" s="258" t="s">
        <v>849</v>
      </c>
      <c r="H6" s="258" t="s">
        <v>64</v>
      </c>
      <c r="I6" s="258" t="s">
        <v>850</v>
      </c>
      <c r="J6" s="313" t="s">
        <v>65</v>
      </c>
      <c r="K6" s="314"/>
    </row>
    <row r="7" spans="1:14" x14ac:dyDescent="0.25">
      <c r="A7" s="315" t="s">
        <v>10</v>
      </c>
      <c r="B7" s="315"/>
      <c r="C7" s="315"/>
      <c r="D7" s="1" t="s">
        <v>11</v>
      </c>
      <c r="E7" s="2"/>
    </row>
    <row r="8" spans="1:14" ht="15.55" customHeight="1" x14ac:dyDescent="0.25">
      <c r="A8" s="310" t="s">
        <v>852</v>
      </c>
      <c r="B8" s="311"/>
      <c r="C8" s="312"/>
      <c r="D8" s="3" t="s">
        <v>851</v>
      </c>
      <c r="E8" s="2"/>
    </row>
    <row r="9" spans="1:14" ht="15.55" customHeight="1" x14ac:dyDescent="0.25">
      <c r="A9" s="310" t="s">
        <v>859</v>
      </c>
      <c r="B9" s="311"/>
      <c r="C9" s="312"/>
      <c r="D9" s="3" t="s">
        <v>851</v>
      </c>
      <c r="E9" s="2"/>
    </row>
    <row r="10" spans="1:14" ht="15.55" customHeight="1" x14ac:dyDescent="0.25">
      <c r="A10" s="310" t="s">
        <v>854</v>
      </c>
      <c r="B10" s="311"/>
      <c r="C10" s="312"/>
      <c r="D10" s="3" t="s">
        <v>851</v>
      </c>
      <c r="E10" s="2"/>
    </row>
    <row r="11" spans="1:14" ht="15.55" customHeight="1" x14ac:dyDescent="0.25">
      <c r="A11" s="310" t="s">
        <v>855</v>
      </c>
      <c r="B11" s="311"/>
      <c r="C11" s="312"/>
      <c r="D11" s="3" t="s">
        <v>853</v>
      </c>
      <c r="E11" s="2"/>
    </row>
    <row r="12" spans="1:14" ht="15.55" customHeight="1" x14ac:dyDescent="0.25">
      <c r="A12" s="310" t="s">
        <v>856</v>
      </c>
      <c r="B12" s="311"/>
      <c r="C12" s="312"/>
      <c r="D12" s="3" t="s">
        <v>853</v>
      </c>
      <c r="E12" s="2"/>
    </row>
    <row r="13" spans="1:14" ht="15.55" customHeight="1" x14ac:dyDescent="0.25">
      <c r="A13" s="310" t="s">
        <v>857</v>
      </c>
      <c r="B13" s="311"/>
      <c r="C13" s="312"/>
      <c r="D13" s="3" t="s">
        <v>12</v>
      </c>
      <c r="E13" s="2"/>
    </row>
    <row r="14" spans="1:14" ht="15.55" customHeight="1" x14ac:dyDescent="0.25">
      <c r="A14" s="310" t="s">
        <v>987</v>
      </c>
      <c r="B14" s="311"/>
      <c r="C14" s="312"/>
      <c r="D14" s="3" t="s">
        <v>12</v>
      </c>
      <c r="E14" s="2"/>
    </row>
    <row r="15" spans="1:14" ht="15.55" customHeight="1" x14ac:dyDescent="0.25">
      <c r="A15" s="322" t="s">
        <v>858</v>
      </c>
      <c r="B15" s="323"/>
      <c r="C15" s="324"/>
      <c r="D15" s="3" t="s">
        <v>12</v>
      </c>
      <c r="E15" s="2"/>
    </row>
    <row r="16" spans="1:14" ht="15.7" customHeight="1" x14ac:dyDescent="0.25">
      <c r="A16" s="309" t="s">
        <v>13</v>
      </c>
      <c r="B16" s="309"/>
      <c r="C16" s="309"/>
      <c r="D16" s="309"/>
      <c r="E16" s="309"/>
      <c r="F16" s="309"/>
      <c r="G16" s="309"/>
      <c r="H16" s="309"/>
      <c r="I16" s="309"/>
      <c r="J16" s="309"/>
      <c r="K16" s="309"/>
      <c r="L16" s="4"/>
      <c r="M16" s="4"/>
      <c r="N16" s="4"/>
    </row>
  </sheetData>
  <sheetProtection selectLockedCells="1"/>
  <mergeCells count="19">
    <mergeCell ref="A1:C1"/>
    <mergeCell ref="D1:K1"/>
    <mergeCell ref="J4:K4"/>
    <mergeCell ref="J5:K5"/>
    <mergeCell ref="A2:C3"/>
    <mergeCell ref="D2:K3"/>
    <mergeCell ref="A16:K16"/>
    <mergeCell ref="A13:C13"/>
    <mergeCell ref="A14:C14"/>
    <mergeCell ref="J6:K6"/>
    <mergeCell ref="A7:C7"/>
    <mergeCell ref="A8:C8"/>
    <mergeCell ref="C4:C6"/>
    <mergeCell ref="A4:B6"/>
    <mergeCell ref="A9:C9"/>
    <mergeCell ref="A10:C10"/>
    <mergeCell ref="A11:C11"/>
    <mergeCell ref="A12:C12"/>
    <mergeCell ref="A15:C15"/>
  </mergeCells>
  <phoneticPr fontId="14" type="noConversion"/>
  <hyperlinks>
    <hyperlink ref="A16:E16" location="重要声明!A1" display="★ 请务必阅读最末页的重要声明" xr:uid="{00000000-0004-0000-0000-000000000000}"/>
    <hyperlink ref="A15" location="欧洲新能源汽车销量!A1" display="中国单车平均装机电量" xr:uid="{00000000-0004-0000-0000-000003000000}"/>
    <hyperlink ref="H5" r:id="rId1" xr:uid="{00000000-0004-0000-0000-000004000000}"/>
    <hyperlink ref="A8" location="全球新能源乘用车销量!A1" display="全球动力电池行业装机规模" xr:uid="{00000000-0004-0000-0000-000007000000}"/>
    <hyperlink ref="A8:C8" location="'全球&amp;中国动力电池装机规模-年度'!A1" display="全球&amp;中国动力电池年度装机规模" xr:uid="{00000000-0004-0000-0000-00000A000000}"/>
    <hyperlink ref="A15:C15" location="中国新能源单车平均带电量!A1" display="中国新能源单车平均带电量" xr:uid="{00000000-0004-0000-0000-00000D000000}"/>
    <hyperlink ref="A13" location="欧洲新能源汽车销量!A1" display="中国动力电池企业装机量排名" xr:uid="{00000000-0004-0000-0000-00000E000000}"/>
    <hyperlink ref="A13:C13" location="'中国动力电池企业装机量排名-月度'!A1" display="中国动力电池企业装机量月度排名" xr:uid="{00000000-0004-0000-0000-00000F000000}"/>
    <hyperlink ref="H6" r:id="rId2" xr:uid="{00000000-0004-0000-0000-000012000000}"/>
    <hyperlink ref="H4" r:id="rId3" xr:uid="{00000000-0004-0000-0000-00001D000000}"/>
    <hyperlink ref="A9" location="全球新能源乘用车销量!A1" display="全球动力电池行业装机规模" xr:uid="{8ECA0CD5-8B67-4A93-A30E-16C70F7C7F18}"/>
    <hyperlink ref="A9:C9" location="'全球&amp;中国动力电池企业装机量排名-年度'!A1" display="全球&amp;中国动力电池企业装机量年度排名" xr:uid="{3CCE4DA8-F8DF-48B3-B74F-4A5C582637DD}"/>
    <hyperlink ref="A10" location="全球新能源乘用车销量!A1" display="全球动力电池行业装机规模" xr:uid="{37F3F990-6A2B-4739-A3C3-C53420134B50}"/>
    <hyperlink ref="A10:C10" location="'全球&amp;中国动力电池行业装机规模-月度'!A1" display="全球&amp;中国动力电池月度装机规模" xr:uid="{501C372F-C05A-4DA7-9AD8-13D5C72B831A}"/>
    <hyperlink ref="A11" location="全球新能源乘用车销量!A1" display="全球动力电池行业装机规模" xr:uid="{C73B2998-7C71-4FB4-8D26-0EACC42615A2}"/>
    <hyperlink ref="A11:C11" location="'全球动力电池企业装机量排名-月度'!A1" display="全球动力电池企业装机量月度排名" xr:uid="{56FB2EAD-297D-4BF5-ACC8-6C6B73B693A9}"/>
    <hyperlink ref="A12" location="全球新能源乘用车销量!A1" display="全球动力电池行业装机规模" xr:uid="{B451560A-5B49-43EC-9648-04E2CD5533E4}"/>
    <hyperlink ref="A12:C12" location="'海外动力电池企业装机量排名-月度'!A1" display="海外动力电池企业装机量月度排名" xr:uid="{78246C95-C5C4-4D47-BBDB-DD01D4A58FAD}"/>
    <hyperlink ref="A14:C14" location="中国锂电池产量规模!A1" display="中国锂电池产量规模" xr:uid="{A1466662-10CD-4D0A-B002-8B5E65DFF994}"/>
  </hyperlinks>
  <pageMargins left="0.7" right="0.7" top="0.75" bottom="0.75" header="0.3" footer="0.3"/>
  <pageSetup paperSize="9" orientation="portrait"/>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9" defaultRowHeight="14.4" x14ac:dyDescent="0.25"/>
  <sheetData>
    <row r="1" spans="1:1" x14ac:dyDescent="0.25">
      <c r="A1" t="s">
        <v>62</v>
      </c>
    </row>
  </sheetData>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5A5D-05E8-474D-8409-FDBCC9BB4C08}">
  <dimension ref="A1:G24"/>
  <sheetViews>
    <sheetView workbookViewId="0">
      <selection activeCell="E27" sqref="E27"/>
    </sheetView>
  </sheetViews>
  <sheetFormatPr defaultColWidth="9" defaultRowHeight="14.4" x14ac:dyDescent="0.25"/>
  <cols>
    <col min="1" max="2" width="9.5" style="298" customWidth="1"/>
    <col min="3" max="3" width="9" style="298"/>
    <col min="4" max="4" width="11.296875" style="298" customWidth="1"/>
    <col min="5" max="16384" width="9" style="298"/>
  </cols>
  <sheetData>
    <row r="1" spans="1:7" x14ac:dyDescent="0.25">
      <c r="A1" s="364" t="s">
        <v>991</v>
      </c>
      <c r="B1" s="365"/>
      <c r="C1" s="365"/>
      <c r="D1" s="365"/>
      <c r="E1" s="365"/>
      <c r="F1" s="365"/>
      <c r="G1" s="366"/>
    </row>
    <row r="2" spans="1:7" x14ac:dyDescent="0.25">
      <c r="A2" s="367" t="s">
        <v>992</v>
      </c>
      <c r="B2" s="368"/>
      <c r="C2" s="368"/>
      <c r="D2" s="368"/>
      <c r="E2" s="368"/>
      <c r="F2" s="368"/>
      <c r="G2" s="369"/>
    </row>
    <row r="3" spans="1:7" ht="45.1" customHeight="1" x14ac:dyDescent="0.25">
      <c r="A3" s="355" t="s">
        <v>993</v>
      </c>
      <c r="B3" s="356"/>
      <c r="C3" s="356"/>
      <c r="D3" s="356"/>
      <c r="E3" s="356"/>
      <c r="F3" s="356"/>
      <c r="G3" s="357"/>
    </row>
    <row r="4" spans="1:7" x14ac:dyDescent="0.25">
      <c r="A4" s="367" t="s">
        <v>994</v>
      </c>
      <c r="B4" s="368"/>
      <c r="C4" s="368"/>
      <c r="D4" s="368"/>
      <c r="E4" s="368"/>
      <c r="F4" s="368"/>
      <c r="G4" s="369"/>
    </row>
    <row r="5" spans="1:7" ht="46.55" customHeight="1" x14ac:dyDescent="0.25">
      <c r="A5" s="355" t="s">
        <v>995</v>
      </c>
      <c r="B5" s="356"/>
      <c r="C5" s="356"/>
      <c r="D5" s="356"/>
      <c r="E5" s="356"/>
      <c r="F5" s="356"/>
      <c r="G5" s="357"/>
    </row>
    <row r="6" spans="1:7" ht="77.2" customHeight="1" x14ac:dyDescent="0.25">
      <c r="A6" s="355" t="s">
        <v>996</v>
      </c>
      <c r="B6" s="356"/>
      <c r="C6" s="356"/>
      <c r="D6" s="356"/>
      <c r="E6" s="356"/>
      <c r="F6" s="356"/>
      <c r="G6" s="357"/>
    </row>
    <row r="7" spans="1:7" ht="63.8" customHeight="1" x14ac:dyDescent="0.25">
      <c r="A7" s="355" t="s">
        <v>997</v>
      </c>
      <c r="B7" s="356"/>
      <c r="C7" s="356"/>
      <c r="D7" s="356"/>
      <c r="E7" s="356"/>
      <c r="F7" s="356"/>
      <c r="G7" s="357"/>
    </row>
    <row r="8" spans="1:7" ht="60.05" customHeight="1" x14ac:dyDescent="0.25">
      <c r="A8" s="355" t="s">
        <v>998</v>
      </c>
      <c r="B8" s="356"/>
      <c r="C8" s="356"/>
      <c r="D8" s="356"/>
      <c r="E8" s="356"/>
      <c r="F8" s="356"/>
      <c r="G8" s="357"/>
    </row>
    <row r="9" spans="1:7" ht="39.049999999999997" customHeight="1" x14ac:dyDescent="0.25">
      <c r="A9" s="355" t="s">
        <v>999</v>
      </c>
      <c r="B9" s="356"/>
      <c r="C9" s="356"/>
      <c r="D9" s="356"/>
      <c r="E9" s="356"/>
      <c r="F9" s="356"/>
      <c r="G9" s="357"/>
    </row>
    <row r="10" spans="1:7" ht="45.8" customHeight="1" x14ac:dyDescent="0.25">
      <c r="A10" s="355" t="s">
        <v>1000</v>
      </c>
      <c r="B10" s="356"/>
      <c r="C10" s="356"/>
      <c r="D10" s="356"/>
      <c r="E10" s="356"/>
      <c r="F10" s="356"/>
      <c r="G10" s="357"/>
    </row>
    <row r="11" spans="1:7" ht="63.1" customHeight="1" thickBot="1" x14ac:dyDescent="0.3">
      <c r="A11" s="358" t="s">
        <v>1001</v>
      </c>
      <c r="B11" s="359"/>
      <c r="C11" s="359"/>
      <c r="D11" s="359"/>
      <c r="E11" s="359"/>
      <c r="F11" s="359"/>
      <c r="G11" s="360"/>
    </row>
    <row r="12" spans="1:7" ht="15" thickBot="1" x14ac:dyDescent="0.3">
      <c r="A12" s="361" t="s">
        <v>1002</v>
      </c>
      <c r="B12" s="361"/>
      <c r="C12" s="362"/>
      <c r="D12" s="361"/>
      <c r="E12" s="361"/>
      <c r="F12" s="361"/>
      <c r="G12" s="363"/>
    </row>
    <row r="13" spans="1:7" ht="15" thickBot="1" x14ac:dyDescent="0.3">
      <c r="A13" s="349"/>
      <c r="B13" s="349"/>
      <c r="C13" s="350"/>
      <c r="D13" s="299"/>
      <c r="E13" s="351" t="s">
        <v>1003</v>
      </c>
      <c r="F13" s="351"/>
      <c r="G13" s="300" t="s">
        <v>1004</v>
      </c>
    </row>
    <row r="14" spans="1:7" ht="25.5" customHeight="1" thickBot="1" x14ac:dyDescent="0.3">
      <c r="A14" s="352" t="s">
        <v>1005</v>
      </c>
      <c r="B14" s="352"/>
      <c r="C14" s="350"/>
      <c r="D14" s="353" t="s">
        <v>1006</v>
      </c>
      <c r="E14" s="301" t="s">
        <v>3</v>
      </c>
      <c r="F14" s="345" t="s">
        <v>1007</v>
      </c>
      <c r="G14" s="346"/>
    </row>
    <row r="15" spans="1:7" ht="25.5" customHeight="1" thickBot="1" x14ac:dyDescent="0.3">
      <c r="A15" s="353"/>
      <c r="B15" s="353"/>
      <c r="C15" s="350"/>
      <c r="D15" s="353"/>
      <c r="E15" s="302" t="s">
        <v>1008</v>
      </c>
      <c r="F15" s="345" t="s">
        <v>1009</v>
      </c>
      <c r="G15" s="346"/>
    </row>
    <row r="16" spans="1:7" ht="25.5" customHeight="1" thickBot="1" x14ac:dyDescent="0.3">
      <c r="A16" s="353"/>
      <c r="B16" s="353"/>
      <c r="C16" s="350"/>
      <c r="D16" s="353"/>
      <c r="E16" s="301" t="s">
        <v>1010</v>
      </c>
      <c r="F16" s="345" t="s">
        <v>1011</v>
      </c>
      <c r="G16" s="346"/>
    </row>
    <row r="17" spans="1:7" ht="25.5" customHeight="1" thickBot="1" x14ac:dyDescent="0.3">
      <c r="A17" s="353"/>
      <c r="B17" s="353"/>
      <c r="C17" s="350"/>
      <c r="D17" s="353"/>
      <c r="E17" s="302" t="s">
        <v>1012</v>
      </c>
      <c r="F17" s="345" t="s">
        <v>1013</v>
      </c>
      <c r="G17" s="346"/>
    </row>
    <row r="18" spans="1:7" ht="38.049999999999997" customHeight="1" thickBot="1" x14ac:dyDescent="0.3">
      <c r="A18" s="353"/>
      <c r="B18" s="353"/>
      <c r="C18" s="350"/>
      <c r="D18" s="353"/>
      <c r="E18" s="302" t="s">
        <v>1014</v>
      </c>
      <c r="F18" s="345" t="s">
        <v>1015</v>
      </c>
      <c r="G18" s="346"/>
    </row>
    <row r="19" spans="1:7" ht="23.2" customHeight="1" thickBot="1" x14ac:dyDescent="0.3">
      <c r="A19" s="353"/>
      <c r="B19" s="353"/>
      <c r="C19" s="350"/>
      <c r="D19" s="343" t="s">
        <v>1016</v>
      </c>
      <c r="E19" s="302" t="s">
        <v>3</v>
      </c>
      <c r="F19" s="345" t="s">
        <v>1017</v>
      </c>
      <c r="G19" s="346"/>
    </row>
    <row r="20" spans="1:7" ht="22.5" customHeight="1" thickBot="1" x14ac:dyDescent="0.3">
      <c r="A20" s="353"/>
      <c r="B20" s="353"/>
      <c r="C20" s="350"/>
      <c r="D20" s="343"/>
      <c r="E20" s="302" t="s">
        <v>1010</v>
      </c>
      <c r="F20" s="345" t="s">
        <v>1018</v>
      </c>
      <c r="G20" s="346"/>
    </row>
    <row r="21" spans="1:7" ht="24.05" customHeight="1" thickBot="1" x14ac:dyDescent="0.3">
      <c r="A21" s="354"/>
      <c r="B21" s="354"/>
      <c r="C21" s="350"/>
      <c r="D21" s="344"/>
      <c r="E21" s="302" t="s">
        <v>1012</v>
      </c>
      <c r="F21" s="345" t="s">
        <v>1019</v>
      </c>
      <c r="G21" s="346"/>
    </row>
    <row r="22" spans="1:7" x14ac:dyDescent="0.25">
      <c r="A22" s="303"/>
      <c r="B22" s="304"/>
      <c r="C22" s="305"/>
      <c r="D22" s="305"/>
      <c r="E22" s="305"/>
      <c r="F22" s="305"/>
      <c r="G22" s="306"/>
    </row>
    <row r="23" spans="1:7" ht="17.850000000000001" thickBot="1" x14ac:dyDescent="0.3">
      <c r="A23" s="347" t="s">
        <v>1020</v>
      </c>
      <c r="B23" s="347"/>
      <c r="C23" s="347"/>
      <c r="D23" s="347"/>
      <c r="E23" s="347"/>
      <c r="F23" s="347"/>
      <c r="G23" s="348"/>
    </row>
    <row r="24" spans="1:7" ht="22.5" thickBot="1" x14ac:dyDescent="0.3">
      <c r="A24" s="307" t="s">
        <v>1021</v>
      </c>
      <c r="B24" s="345" t="s">
        <v>1022</v>
      </c>
      <c r="C24" s="345"/>
      <c r="D24" s="302" t="s">
        <v>1023</v>
      </c>
      <c r="E24" s="302">
        <v>200011</v>
      </c>
      <c r="F24" s="302" t="s">
        <v>1024</v>
      </c>
      <c r="G24" s="308" t="s">
        <v>1025</v>
      </c>
    </row>
  </sheetData>
  <mergeCells count="28">
    <mergeCell ref="A12:G12"/>
    <mergeCell ref="A1:G1"/>
    <mergeCell ref="A2:G2"/>
    <mergeCell ref="A3:G3"/>
    <mergeCell ref="A4:G4"/>
    <mergeCell ref="A5:G5"/>
    <mergeCell ref="A6:G6"/>
    <mergeCell ref="A7:G7"/>
    <mergeCell ref="A8:G8"/>
    <mergeCell ref="A9:G9"/>
    <mergeCell ref="A10:G10"/>
    <mergeCell ref="A11:G11"/>
    <mergeCell ref="B24:C24"/>
    <mergeCell ref="A13:B13"/>
    <mergeCell ref="C13:C21"/>
    <mergeCell ref="E13:F13"/>
    <mergeCell ref="A14:B21"/>
    <mergeCell ref="D14:D18"/>
    <mergeCell ref="F14:G14"/>
    <mergeCell ref="F15:G15"/>
    <mergeCell ref="F16:G16"/>
    <mergeCell ref="F17:G17"/>
    <mergeCell ref="F18:G18"/>
    <mergeCell ref="D19:D21"/>
    <mergeCell ref="F19:G19"/>
    <mergeCell ref="F20:G20"/>
    <mergeCell ref="F21:G21"/>
    <mergeCell ref="A23:G23"/>
  </mergeCells>
  <phoneticPr fontId="14"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33"/>
  <sheetViews>
    <sheetView zoomScale="120" zoomScaleNormal="120" workbookViewId="0"/>
  </sheetViews>
  <sheetFormatPr defaultColWidth="9" defaultRowHeight="14" customHeight="1" x14ac:dyDescent="0.25"/>
  <cols>
    <col min="1" max="1" width="5.69921875" style="6" customWidth="1"/>
    <col min="2" max="2" width="30.59765625" style="6" customWidth="1"/>
    <col min="3" max="9" width="9.296875" style="6" customWidth="1"/>
    <col min="10" max="16384" width="9" style="6"/>
  </cols>
  <sheetData>
    <row r="1" spans="2:15" ht="14" customHeight="1" x14ac:dyDescent="0.25">
      <c r="B1" s="123" t="s">
        <v>653</v>
      </c>
    </row>
    <row r="2" spans="2:15" ht="14" customHeight="1" x14ac:dyDescent="0.25">
      <c r="B2" s="261" t="s">
        <v>864</v>
      </c>
      <c r="C2" s="124">
        <v>2019</v>
      </c>
      <c r="D2" s="124">
        <v>2020</v>
      </c>
      <c r="E2" s="124">
        <v>2021</v>
      </c>
      <c r="F2" s="124">
        <v>2022</v>
      </c>
      <c r="G2" s="124">
        <v>2023</v>
      </c>
      <c r="H2" s="124">
        <v>2024</v>
      </c>
      <c r="I2" s="124">
        <v>2025</v>
      </c>
    </row>
    <row r="3" spans="2:15" ht="14" customHeight="1" x14ac:dyDescent="0.25">
      <c r="B3" s="5" t="s">
        <v>866</v>
      </c>
      <c r="C3" s="118">
        <v>118</v>
      </c>
      <c r="D3" s="118">
        <v>148</v>
      </c>
      <c r="E3" s="118">
        <v>308</v>
      </c>
      <c r="F3" s="118">
        <v>515</v>
      </c>
      <c r="G3" s="118">
        <v>710</v>
      </c>
      <c r="H3" s="118">
        <v>901</v>
      </c>
      <c r="I3" s="118">
        <v>1187</v>
      </c>
    </row>
    <row r="4" spans="2:15" ht="14" customHeight="1" x14ac:dyDescent="0.25">
      <c r="B4" s="5" t="s">
        <v>789</v>
      </c>
      <c r="C4" s="208"/>
      <c r="D4" s="209">
        <f>D3/C3-1</f>
        <v>0.25423728813559321</v>
      </c>
      <c r="E4" s="209">
        <f t="shared" ref="E4:I4" si="0">E3/D3-1</f>
        <v>1.0810810810810811</v>
      </c>
      <c r="F4" s="209">
        <f t="shared" si="0"/>
        <v>0.67207792207792205</v>
      </c>
      <c r="G4" s="209">
        <f t="shared" si="0"/>
        <v>0.37864077669902918</v>
      </c>
      <c r="H4" s="209">
        <f t="shared" si="0"/>
        <v>0.26901408450704234</v>
      </c>
      <c r="I4" s="209">
        <f t="shared" si="0"/>
        <v>0.3174250832408434</v>
      </c>
    </row>
    <row r="6" spans="2:15" ht="14" customHeight="1" x14ac:dyDescent="0.25">
      <c r="B6" s="123" t="s">
        <v>653</v>
      </c>
    </row>
    <row r="7" spans="2:15" ht="14" customHeight="1" x14ac:dyDescent="0.25">
      <c r="B7" s="261" t="s">
        <v>867</v>
      </c>
      <c r="C7" s="124">
        <v>2019</v>
      </c>
      <c r="D7" s="124">
        <v>2020</v>
      </c>
      <c r="E7" s="124">
        <v>2021</v>
      </c>
      <c r="F7" s="124">
        <v>2022</v>
      </c>
      <c r="G7" s="124">
        <v>2023</v>
      </c>
      <c r="H7" s="124">
        <v>2024</v>
      </c>
      <c r="I7" s="124">
        <v>2025</v>
      </c>
    </row>
    <row r="8" spans="2:15" ht="14" customHeight="1" x14ac:dyDescent="0.25">
      <c r="B8" s="5" t="s">
        <v>866</v>
      </c>
      <c r="C8" s="118">
        <v>52</v>
      </c>
      <c r="D8" s="118">
        <v>83</v>
      </c>
      <c r="E8" s="118">
        <v>157</v>
      </c>
      <c r="F8" s="118">
        <v>228</v>
      </c>
      <c r="G8" s="118">
        <v>327</v>
      </c>
      <c r="H8" s="118">
        <v>368</v>
      </c>
      <c r="I8" s="118">
        <v>463</v>
      </c>
    </row>
    <row r="9" spans="2:15" ht="14" customHeight="1" x14ac:dyDescent="0.25">
      <c r="B9" s="5" t="s">
        <v>789</v>
      </c>
      <c r="C9" s="208"/>
      <c r="D9" s="209">
        <f>D8/C8-1</f>
        <v>0.59615384615384626</v>
      </c>
      <c r="E9" s="209">
        <f t="shared" ref="E9:I9" si="1">E8/D8-1</f>
        <v>0.89156626506024095</v>
      </c>
      <c r="F9" s="209">
        <f t="shared" si="1"/>
        <v>0.45222929936305722</v>
      </c>
      <c r="G9" s="209">
        <f t="shared" si="1"/>
        <v>0.43421052631578938</v>
      </c>
      <c r="H9" s="209">
        <f t="shared" si="1"/>
        <v>0.12538226299694188</v>
      </c>
      <c r="I9" s="209">
        <f t="shared" si="1"/>
        <v>0.25815217391304346</v>
      </c>
    </row>
    <row r="10" spans="2:15" ht="14" customHeight="1" x14ac:dyDescent="0.25">
      <c r="B10" s="117"/>
      <c r="C10" s="208"/>
      <c r="D10" s="209"/>
      <c r="E10" s="209"/>
      <c r="F10" s="209"/>
      <c r="G10" s="17"/>
      <c r="H10" s="17"/>
      <c r="I10" s="17"/>
    </row>
    <row r="11" spans="2:15" ht="14" customHeight="1" x14ac:dyDescent="0.25">
      <c r="B11" s="123" t="s">
        <v>654</v>
      </c>
      <c r="O11" s="6" t="s">
        <v>652</v>
      </c>
    </row>
    <row r="12" spans="2:15" ht="14" customHeight="1" x14ac:dyDescent="0.25">
      <c r="B12" s="261" t="s">
        <v>868</v>
      </c>
      <c r="C12" s="124">
        <v>2019</v>
      </c>
      <c r="D12" s="124">
        <v>2020</v>
      </c>
      <c r="E12" s="124">
        <v>2021</v>
      </c>
      <c r="F12" s="124">
        <v>2022</v>
      </c>
      <c r="G12" s="124">
        <v>2023</v>
      </c>
      <c r="H12" s="124">
        <v>2024</v>
      </c>
      <c r="I12" s="124">
        <v>2025</v>
      </c>
    </row>
    <row r="13" spans="2:15" ht="14" customHeight="1" x14ac:dyDescent="0.25">
      <c r="B13" s="5" t="s">
        <v>866</v>
      </c>
      <c r="C13" s="18">
        <v>62.2</v>
      </c>
      <c r="D13" s="18">
        <v>63.6</v>
      </c>
      <c r="E13" s="18">
        <v>154.5</v>
      </c>
      <c r="F13" s="18">
        <v>294.60000000000002</v>
      </c>
      <c r="G13" s="15">
        <v>387.7</v>
      </c>
      <c r="H13" s="18">
        <v>548.4</v>
      </c>
      <c r="I13" s="18">
        <v>769.7</v>
      </c>
    </row>
    <row r="14" spans="2:15" ht="14" customHeight="1" x14ac:dyDescent="0.25">
      <c r="B14" s="5" t="s">
        <v>789</v>
      </c>
      <c r="C14" s="208"/>
      <c r="D14" s="209">
        <f>D13/C13-1</f>
        <v>2.2508038585209E-2</v>
      </c>
      <c r="E14" s="209">
        <f t="shared" ref="E14:I14" si="2">E13/D13-1</f>
        <v>1.4292452830188678</v>
      </c>
      <c r="F14" s="209">
        <f t="shared" si="2"/>
        <v>0.90679611650485459</v>
      </c>
      <c r="G14" s="209">
        <f t="shared" si="2"/>
        <v>0.3160217243720298</v>
      </c>
      <c r="H14" s="209">
        <f t="shared" si="2"/>
        <v>0.41449574413206092</v>
      </c>
      <c r="I14" s="209">
        <f t="shared" si="2"/>
        <v>0.40353756382202777</v>
      </c>
    </row>
    <row r="15" spans="2:15" ht="14" customHeight="1" x14ac:dyDescent="0.25">
      <c r="B15" s="246" t="s">
        <v>66</v>
      </c>
      <c r="C15" s="18">
        <v>40.5</v>
      </c>
      <c r="D15" s="18">
        <v>38.9</v>
      </c>
      <c r="E15" s="18">
        <v>74.3</v>
      </c>
      <c r="F15" s="18">
        <v>110.4</v>
      </c>
      <c r="G15" s="18">
        <v>126.2</v>
      </c>
      <c r="H15" s="18">
        <v>139</v>
      </c>
      <c r="I15" s="18">
        <v>144.1</v>
      </c>
    </row>
    <row r="16" spans="2:15" ht="14" customHeight="1" x14ac:dyDescent="0.25">
      <c r="B16" s="246" t="s">
        <v>796</v>
      </c>
      <c r="C16" s="18">
        <v>20.2</v>
      </c>
      <c r="D16" s="18">
        <v>24.4</v>
      </c>
      <c r="E16" s="18">
        <v>79.8</v>
      </c>
      <c r="F16" s="18">
        <v>183.8</v>
      </c>
      <c r="G16" s="18">
        <v>261</v>
      </c>
      <c r="H16" s="18">
        <v>409</v>
      </c>
      <c r="I16" s="18">
        <v>625.29999999999995</v>
      </c>
    </row>
    <row r="17" spans="2:12" ht="14" customHeight="1" x14ac:dyDescent="0.25">
      <c r="B17" s="247" t="s">
        <v>818</v>
      </c>
      <c r="C17" s="18">
        <f>C13-C15-C16</f>
        <v>1.5000000000000036</v>
      </c>
      <c r="D17" s="18">
        <f t="shared" ref="D17:I17" si="3">D13-D15-D16</f>
        <v>0.30000000000000426</v>
      </c>
      <c r="E17" s="18">
        <f t="shared" si="3"/>
        <v>0.40000000000000568</v>
      </c>
      <c r="F17" s="18">
        <f t="shared" si="3"/>
        <v>0.40000000000000568</v>
      </c>
      <c r="G17" s="18">
        <f t="shared" si="3"/>
        <v>0.5</v>
      </c>
      <c r="H17" s="18">
        <f t="shared" si="3"/>
        <v>0.39999999999997726</v>
      </c>
      <c r="I17" s="18">
        <f t="shared" si="3"/>
        <v>0.30000000000006821</v>
      </c>
    </row>
    <row r="18" spans="2:12" ht="14" customHeight="1" x14ac:dyDescent="0.25">
      <c r="B18" s="210"/>
    </row>
    <row r="25" spans="2:12" ht="14" customHeight="1" x14ac:dyDescent="0.25">
      <c r="B25" s="117"/>
      <c r="C25" s="117"/>
      <c r="D25" s="117"/>
      <c r="E25" s="117"/>
      <c r="F25" s="117"/>
      <c r="G25" s="117"/>
      <c r="H25" s="117"/>
      <c r="I25" s="117"/>
    </row>
    <row r="26" spans="2:12" ht="14" customHeight="1" x14ac:dyDescent="0.25">
      <c r="B26" s="117"/>
      <c r="C26" s="122"/>
      <c r="D26" s="122"/>
      <c r="E26" s="122"/>
      <c r="F26" s="122"/>
      <c r="G26" s="117"/>
      <c r="H26" s="122"/>
      <c r="I26" s="122"/>
    </row>
    <row r="27" spans="2:12" ht="14" customHeight="1" x14ac:dyDescent="0.25">
      <c r="B27" s="117"/>
      <c r="C27" s="211"/>
      <c r="D27" s="212"/>
      <c r="E27" s="212"/>
      <c r="F27" s="212"/>
      <c r="G27" s="119"/>
      <c r="H27" s="119"/>
      <c r="I27" s="119"/>
    </row>
    <row r="28" spans="2:12" ht="14" customHeight="1" x14ac:dyDescent="0.25">
      <c r="B28" s="117"/>
      <c r="C28" s="117"/>
      <c r="D28" s="117"/>
      <c r="E28" s="117"/>
      <c r="F28" s="117"/>
      <c r="G28" s="117"/>
      <c r="H28" s="117"/>
      <c r="I28" s="117"/>
      <c r="J28" s="117"/>
      <c r="K28" s="117"/>
      <c r="L28" s="117"/>
    </row>
    <row r="29" spans="2:12" ht="14" customHeight="1" x14ac:dyDescent="0.25">
      <c r="B29" s="117"/>
      <c r="C29" s="120"/>
      <c r="D29" s="120"/>
      <c r="E29" s="121"/>
      <c r="F29" s="117"/>
      <c r="G29" s="117"/>
      <c r="H29" s="117"/>
      <c r="I29" s="117"/>
      <c r="J29" s="122"/>
      <c r="K29" s="117"/>
      <c r="L29" s="122"/>
    </row>
    <row r="30" spans="2:12" ht="14" customHeight="1" x14ac:dyDescent="0.25">
      <c r="B30" s="117"/>
      <c r="C30" s="211"/>
      <c r="D30" s="211"/>
      <c r="E30" s="211"/>
      <c r="F30" s="211"/>
      <c r="G30" s="211"/>
      <c r="H30" s="211"/>
      <c r="I30" s="211"/>
      <c r="J30" s="213"/>
      <c r="K30" s="211"/>
      <c r="L30" s="211"/>
    </row>
    <row r="31" spans="2:12" ht="14" customHeight="1" x14ac:dyDescent="0.25">
      <c r="B31" s="117"/>
      <c r="F31" s="18"/>
      <c r="G31" s="18"/>
      <c r="H31" s="18"/>
      <c r="I31" s="18"/>
      <c r="J31" s="18"/>
      <c r="K31" s="18"/>
      <c r="L31" s="18"/>
    </row>
    <row r="32" spans="2:12" ht="14" customHeight="1" x14ac:dyDescent="0.25">
      <c r="B32" s="117"/>
      <c r="F32" s="18"/>
      <c r="G32" s="18"/>
      <c r="H32" s="18"/>
      <c r="I32" s="18"/>
      <c r="J32" s="18"/>
      <c r="K32" s="18"/>
      <c r="L32" s="18"/>
    </row>
    <row r="33" spans="2:12" ht="14" customHeight="1" x14ac:dyDescent="0.25">
      <c r="B33" s="117"/>
      <c r="F33" s="18"/>
      <c r="G33" s="18"/>
      <c r="H33" s="18"/>
      <c r="I33" s="18"/>
      <c r="J33" s="18"/>
      <c r="K33" s="18"/>
      <c r="L33" s="18"/>
    </row>
  </sheetData>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3BC9-5E6F-45F6-B264-2BDC740FE76F}">
  <dimension ref="A1:AG121"/>
  <sheetViews>
    <sheetView workbookViewId="0"/>
  </sheetViews>
  <sheetFormatPr defaultColWidth="8.69921875" defaultRowHeight="14" customHeight="1" x14ac:dyDescent="0.25"/>
  <cols>
    <col min="1" max="1" width="5.69921875" style="6" customWidth="1"/>
    <col min="2" max="46" width="8.69921875" style="6" customWidth="1"/>
    <col min="47" max="16384" width="8.69921875" style="6"/>
  </cols>
  <sheetData>
    <row r="1" spans="1:33" ht="14" customHeight="1" x14ac:dyDescent="0.25">
      <c r="B1" s="331" t="s">
        <v>869</v>
      </c>
      <c r="C1" s="330"/>
      <c r="D1" s="330"/>
      <c r="E1" s="330"/>
    </row>
    <row r="2" spans="1:33" s="123" customFormat="1" ht="10.95" customHeight="1" x14ac:dyDescent="0.25">
      <c r="A2" s="185"/>
      <c r="B2" s="332" t="s">
        <v>820</v>
      </c>
      <c r="C2" s="332"/>
      <c r="D2" s="332"/>
      <c r="E2" s="332"/>
      <c r="F2" s="332" t="s">
        <v>831</v>
      </c>
      <c r="G2" s="332"/>
      <c r="H2" s="332"/>
      <c r="I2" s="332"/>
      <c r="J2" s="332" t="s">
        <v>832</v>
      </c>
      <c r="K2" s="332"/>
      <c r="L2" s="332"/>
      <c r="M2" s="332"/>
      <c r="N2" s="332" t="s">
        <v>833</v>
      </c>
      <c r="O2" s="332"/>
      <c r="P2" s="332"/>
      <c r="Q2" s="332"/>
      <c r="R2" s="332" t="s">
        <v>834</v>
      </c>
      <c r="S2" s="332"/>
      <c r="T2" s="332"/>
      <c r="U2" s="332"/>
      <c r="V2" s="332" t="s">
        <v>835</v>
      </c>
      <c r="W2" s="332"/>
      <c r="X2" s="332"/>
      <c r="Y2" s="332"/>
      <c r="Z2" s="332" t="s">
        <v>836</v>
      </c>
      <c r="AA2" s="332"/>
      <c r="AB2" s="332"/>
      <c r="AC2" s="332"/>
      <c r="AD2" s="332" t="s">
        <v>873</v>
      </c>
      <c r="AE2" s="332"/>
      <c r="AF2" s="332"/>
      <c r="AG2" s="332"/>
    </row>
    <row r="3" spans="1:33" s="123" customFormat="1" ht="10.95" customHeight="1" x14ac:dyDescent="0.25">
      <c r="A3" s="185"/>
      <c r="B3" s="248" t="s">
        <v>837</v>
      </c>
      <c r="C3" s="249" t="s">
        <v>821</v>
      </c>
      <c r="D3" s="259" t="s">
        <v>865</v>
      </c>
      <c r="E3" s="250" t="s">
        <v>822</v>
      </c>
      <c r="F3" s="248" t="s">
        <v>837</v>
      </c>
      <c r="G3" s="249" t="s">
        <v>821</v>
      </c>
      <c r="H3" s="249" t="s">
        <v>865</v>
      </c>
      <c r="I3" s="250" t="s">
        <v>822</v>
      </c>
      <c r="J3" s="248" t="s">
        <v>837</v>
      </c>
      <c r="K3" s="249" t="s">
        <v>821</v>
      </c>
      <c r="L3" s="249" t="s">
        <v>865</v>
      </c>
      <c r="M3" s="250" t="s">
        <v>822</v>
      </c>
      <c r="N3" s="248" t="s">
        <v>837</v>
      </c>
      <c r="O3" s="249" t="s">
        <v>821</v>
      </c>
      <c r="P3" s="249" t="s">
        <v>865</v>
      </c>
      <c r="Q3" s="250" t="s">
        <v>822</v>
      </c>
      <c r="R3" s="248" t="s">
        <v>837</v>
      </c>
      <c r="S3" s="249" t="s">
        <v>821</v>
      </c>
      <c r="T3" s="249" t="s">
        <v>865</v>
      </c>
      <c r="U3" s="250" t="s">
        <v>822</v>
      </c>
      <c r="V3" s="248" t="s">
        <v>837</v>
      </c>
      <c r="W3" s="249" t="s">
        <v>821</v>
      </c>
      <c r="X3" s="249" t="s">
        <v>865</v>
      </c>
      <c r="Y3" s="250" t="s">
        <v>822</v>
      </c>
      <c r="Z3" s="248" t="s">
        <v>837</v>
      </c>
      <c r="AA3" s="249" t="s">
        <v>821</v>
      </c>
      <c r="AB3" s="249" t="s">
        <v>865</v>
      </c>
      <c r="AC3" s="250" t="s">
        <v>822</v>
      </c>
      <c r="AD3" s="248" t="s">
        <v>837</v>
      </c>
      <c r="AE3" s="249" t="s">
        <v>821</v>
      </c>
      <c r="AF3" s="249" t="s">
        <v>865</v>
      </c>
      <c r="AG3" s="250" t="s">
        <v>822</v>
      </c>
    </row>
    <row r="4" spans="1:33" s="123" customFormat="1" ht="10.95" customHeight="1" x14ac:dyDescent="0.25">
      <c r="A4" s="185"/>
      <c r="B4" s="251">
        <v>1</v>
      </c>
      <c r="C4" s="239" t="s">
        <v>16</v>
      </c>
      <c r="D4" s="252">
        <v>23.4</v>
      </c>
      <c r="E4" s="253">
        <v>0.23400000000000001</v>
      </c>
      <c r="F4" s="251">
        <v>1</v>
      </c>
      <c r="G4" s="239" t="s">
        <v>16</v>
      </c>
      <c r="H4" s="252">
        <v>32.5</v>
      </c>
      <c r="I4" s="253">
        <v>0.27565733672603898</v>
      </c>
      <c r="J4" s="251">
        <v>1</v>
      </c>
      <c r="K4" s="239" t="s">
        <v>16</v>
      </c>
      <c r="L4" s="252">
        <v>34.299999999999997</v>
      </c>
      <c r="M4" s="253">
        <v>0.240364400840925</v>
      </c>
      <c r="N4" s="251">
        <v>1</v>
      </c>
      <c r="O4" s="239" t="s">
        <v>838</v>
      </c>
      <c r="P4" s="256">
        <v>96.7</v>
      </c>
      <c r="Q4" s="253">
        <v>0.32600000000000001</v>
      </c>
      <c r="R4" s="251">
        <v>1</v>
      </c>
      <c r="S4" s="239" t="s">
        <v>838</v>
      </c>
      <c r="T4" s="256">
        <v>191.6</v>
      </c>
      <c r="U4" s="253">
        <v>0.37</v>
      </c>
      <c r="V4" s="251">
        <v>1</v>
      </c>
      <c r="W4" s="239" t="s">
        <v>838</v>
      </c>
      <c r="X4" s="256">
        <v>257.7</v>
      </c>
      <c r="Y4" s="253">
        <v>0.36799999999999999</v>
      </c>
      <c r="Z4" s="251">
        <v>1</v>
      </c>
      <c r="AA4" s="239" t="s">
        <v>838</v>
      </c>
      <c r="AB4" s="252">
        <v>339.3</v>
      </c>
      <c r="AC4" s="253">
        <v>0.379</v>
      </c>
      <c r="AD4" s="251">
        <v>1</v>
      </c>
      <c r="AE4" s="239" t="s">
        <v>874</v>
      </c>
      <c r="AF4" s="252">
        <v>464.7</v>
      </c>
      <c r="AG4" s="253">
        <v>0.39200000000000002</v>
      </c>
    </row>
    <row r="5" spans="1:33" s="123" customFormat="1" ht="10.95" customHeight="1" x14ac:dyDescent="0.25">
      <c r="A5" s="185"/>
      <c r="B5" s="251">
        <v>2</v>
      </c>
      <c r="C5" s="239" t="s">
        <v>823</v>
      </c>
      <c r="D5" s="252">
        <v>21.3</v>
      </c>
      <c r="E5" s="253">
        <v>0.21299999999999999</v>
      </c>
      <c r="F5" s="251">
        <v>2</v>
      </c>
      <c r="G5" s="239" t="s">
        <v>824</v>
      </c>
      <c r="H5" s="252">
        <v>12.4</v>
      </c>
      <c r="I5" s="253">
        <v>0.105173876166243</v>
      </c>
      <c r="J5" s="251">
        <v>2</v>
      </c>
      <c r="K5" s="239" t="s">
        <v>824</v>
      </c>
      <c r="L5" s="252">
        <v>33.5</v>
      </c>
      <c r="M5" s="253">
        <v>0.23475823405746299</v>
      </c>
      <c r="N5" s="251">
        <v>2</v>
      </c>
      <c r="O5" s="239" t="s">
        <v>824</v>
      </c>
      <c r="P5" s="256">
        <v>60.2</v>
      </c>
      <c r="Q5" s="253">
        <v>0.20300000000000001</v>
      </c>
      <c r="R5" s="251">
        <v>2</v>
      </c>
      <c r="S5" s="239" t="s">
        <v>839</v>
      </c>
      <c r="T5" s="256">
        <v>70.400000000000006</v>
      </c>
      <c r="U5" s="253">
        <v>0.13600000000000001</v>
      </c>
      <c r="V5" s="251">
        <v>2</v>
      </c>
      <c r="W5" s="239" t="s">
        <v>825</v>
      </c>
      <c r="X5" s="256">
        <v>111.8</v>
      </c>
      <c r="Y5" s="253">
        <v>0.158</v>
      </c>
      <c r="Z5" s="251">
        <v>2</v>
      </c>
      <c r="AA5" s="239" t="s">
        <v>825</v>
      </c>
      <c r="AB5" s="252">
        <v>153.69999999999999</v>
      </c>
      <c r="AC5" s="253">
        <v>0.17199999999999999</v>
      </c>
      <c r="AD5" s="251">
        <v>2</v>
      </c>
      <c r="AE5" s="239" t="s">
        <v>875</v>
      </c>
      <c r="AF5" s="252">
        <v>194.8</v>
      </c>
      <c r="AG5" s="253">
        <f t="shared" ref="AG5:AG14" si="0">AF5/AF$15</f>
        <v>0.1641112047177759</v>
      </c>
    </row>
    <row r="6" spans="1:33" s="123" customFormat="1" ht="10.95" customHeight="1" x14ac:dyDescent="0.25">
      <c r="A6" s="185"/>
      <c r="B6" s="251">
        <v>3</v>
      </c>
      <c r="C6" s="239" t="s">
        <v>824</v>
      </c>
      <c r="D6" s="252">
        <v>7.5</v>
      </c>
      <c r="E6" s="253">
        <v>7.4999999999999997E-2</v>
      </c>
      <c r="F6" s="251">
        <v>3</v>
      </c>
      <c r="G6" s="239" t="s">
        <v>823</v>
      </c>
      <c r="H6" s="252">
        <v>28.8</v>
      </c>
      <c r="I6" s="253">
        <v>0.244274809160305</v>
      </c>
      <c r="J6" s="251">
        <v>3</v>
      </c>
      <c r="K6" s="239" t="s">
        <v>823</v>
      </c>
      <c r="L6" s="252">
        <v>26.5</v>
      </c>
      <c r="M6" s="253">
        <v>0.18570427470217199</v>
      </c>
      <c r="N6" s="251">
        <v>3</v>
      </c>
      <c r="O6" s="239" t="s">
        <v>823</v>
      </c>
      <c r="P6" s="256">
        <v>36.1</v>
      </c>
      <c r="Q6" s="253">
        <v>0.122</v>
      </c>
      <c r="R6" s="251">
        <v>3</v>
      </c>
      <c r="S6" s="239" t="s">
        <v>825</v>
      </c>
      <c r="T6" s="256">
        <v>70.400000000000006</v>
      </c>
      <c r="U6" s="253">
        <v>0.13600000000000001</v>
      </c>
      <c r="V6" s="251">
        <v>3</v>
      </c>
      <c r="W6" s="239" t="s">
        <v>839</v>
      </c>
      <c r="X6" s="256">
        <v>95.8</v>
      </c>
      <c r="Y6" s="253">
        <v>0.13600000000000001</v>
      </c>
      <c r="Z6" s="251">
        <v>3</v>
      </c>
      <c r="AA6" s="239" t="s">
        <v>20</v>
      </c>
      <c r="AB6" s="252">
        <v>96.3</v>
      </c>
      <c r="AC6" s="253">
        <v>0.108</v>
      </c>
      <c r="AD6" s="251">
        <v>3</v>
      </c>
      <c r="AE6" s="239" t="s">
        <v>20</v>
      </c>
      <c r="AF6" s="252">
        <v>108.8</v>
      </c>
      <c r="AG6" s="253">
        <f t="shared" si="0"/>
        <v>9.1659646166807079E-2</v>
      </c>
    </row>
    <row r="7" spans="1:33" s="123" customFormat="1" ht="10.95" customHeight="1" x14ac:dyDescent="0.25">
      <c r="A7" s="185"/>
      <c r="B7" s="251">
        <v>4</v>
      </c>
      <c r="C7" s="239" t="s">
        <v>825</v>
      </c>
      <c r="D7" s="252">
        <v>11.8</v>
      </c>
      <c r="E7" s="253">
        <v>0.11799999999999999</v>
      </c>
      <c r="F7" s="251">
        <v>4</v>
      </c>
      <c r="G7" s="239" t="s">
        <v>825</v>
      </c>
      <c r="H7" s="252">
        <v>11.1</v>
      </c>
      <c r="I7" s="253">
        <v>9.4147582697200999E-2</v>
      </c>
      <c r="J7" s="251">
        <v>4</v>
      </c>
      <c r="K7" s="239" t="s">
        <v>825</v>
      </c>
      <c r="L7" s="252">
        <v>9.6</v>
      </c>
      <c r="M7" s="253">
        <v>6.7274001401541703E-2</v>
      </c>
      <c r="N7" s="251">
        <v>4</v>
      </c>
      <c r="O7" s="239" t="s">
        <v>825</v>
      </c>
      <c r="P7" s="256">
        <v>26.3</v>
      </c>
      <c r="Q7" s="253">
        <v>8.7999999999999995E-2</v>
      </c>
      <c r="R7" s="251">
        <v>4</v>
      </c>
      <c r="S7" s="239" t="s">
        <v>823</v>
      </c>
      <c r="T7" s="256">
        <v>38</v>
      </c>
      <c r="U7" s="253">
        <v>7.2999999999999995E-2</v>
      </c>
      <c r="V7" s="251">
        <v>4</v>
      </c>
      <c r="W7" s="239" t="s">
        <v>823</v>
      </c>
      <c r="X7" s="256">
        <v>44.9</v>
      </c>
      <c r="Y7" s="253">
        <v>6.4000000000000001E-2</v>
      </c>
      <c r="Z7" s="251">
        <v>4</v>
      </c>
      <c r="AA7" s="239" t="s">
        <v>840</v>
      </c>
      <c r="AB7" s="252">
        <v>39.4</v>
      </c>
      <c r="AC7" s="253">
        <v>4.3999999999999997E-2</v>
      </c>
      <c r="AD7" s="251">
        <v>4</v>
      </c>
      <c r="AE7" s="239" t="s">
        <v>876</v>
      </c>
      <c r="AF7" s="252">
        <v>62.8</v>
      </c>
      <c r="AG7" s="253">
        <f t="shared" si="0"/>
        <v>5.2906486941870258E-2</v>
      </c>
    </row>
    <row r="8" spans="1:33" s="123" customFormat="1" ht="10.95" customHeight="1" x14ac:dyDescent="0.25">
      <c r="A8" s="185"/>
      <c r="B8" s="251">
        <v>5</v>
      </c>
      <c r="C8" s="239" t="s">
        <v>826</v>
      </c>
      <c r="D8" s="252">
        <v>3.5</v>
      </c>
      <c r="E8" s="253">
        <v>3.5000000000000003E-2</v>
      </c>
      <c r="F8" s="251">
        <v>5</v>
      </c>
      <c r="G8" s="239" t="s">
        <v>826</v>
      </c>
      <c r="H8" s="252">
        <v>4.4000000000000004</v>
      </c>
      <c r="I8" s="253">
        <v>3.7319762510602199E-2</v>
      </c>
      <c r="J8" s="251">
        <v>5</v>
      </c>
      <c r="K8" s="239" t="s">
        <v>826</v>
      </c>
      <c r="L8" s="252">
        <v>8.1999999999999993</v>
      </c>
      <c r="M8" s="253">
        <v>5.7463209530483499E-2</v>
      </c>
      <c r="N8" s="251">
        <v>5</v>
      </c>
      <c r="O8" s="239" t="s">
        <v>24</v>
      </c>
      <c r="P8" s="256">
        <v>16.7</v>
      </c>
      <c r="Q8" s="253">
        <v>5.6000000000000001E-2</v>
      </c>
      <c r="R8" s="251">
        <v>5</v>
      </c>
      <c r="S8" s="239" t="s">
        <v>25</v>
      </c>
      <c r="T8" s="256">
        <v>27.8</v>
      </c>
      <c r="U8" s="253">
        <v>5.3999999999999999E-2</v>
      </c>
      <c r="V8" s="251">
        <v>5</v>
      </c>
      <c r="W8" s="239" t="s">
        <v>25</v>
      </c>
      <c r="X8" s="256">
        <v>34.4</v>
      </c>
      <c r="Y8" s="253">
        <v>4.9000000000000002E-2</v>
      </c>
      <c r="Z8" s="251">
        <v>5</v>
      </c>
      <c r="AA8" s="239" t="s">
        <v>25</v>
      </c>
      <c r="AB8" s="252">
        <v>39</v>
      </c>
      <c r="AC8" s="253">
        <v>4.3999999999999997E-2</v>
      </c>
      <c r="AD8" s="251">
        <v>5</v>
      </c>
      <c r="AE8" s="239" t="s">
        <v>877</v>
      </c>
      <c r="AF8" s="252">
        <v>53.5</v>
      </c>
      <c r="AG8" s="253">
        <f t="shared" si="0"/>
        <v>4.5071609098567819E-2</v>
      </c>
    </row>
    <row r="9" spans="1:33" s="123" customFormat="1" ht="10.95" customHeight="1" x14ac:dyDescent="0.25">
      <c r="A9" s="185"/>
      <c r="B9" s="251">
        <v>6</v>
      </c>
      <c r="C9" s="239" t="s">
        <v>23</v>
      </c>
      <c r="D9" s="252">
        <v>3.7</v>
      </c>
      <c r="E9" s="253">
        <v>3.6999999999999998E-2</v>
      </c>
      <c r="F9" s="251">
        <v>6</v>
      </c>
      <c r="G9" s="239" t="s">
        <v>24</v>
      </c>
      <c r="H9" s="252">
        <v>2.1</v>
      </c>
      <c r="I9" s="253">
        <v>1.7811704834605601E-2</v>
      </c>
      <c r="J9" s="251">
        <v>6</v>
      </c>
      <c r="K9" s="239" t="s">
        <v>24</v>
      </c>
      <c r="L9" s="252">
        <v>7.7</v>
      </c>
      <c r="M9" s="253">
        <v>5.3959355290819903E-2</v>
      </c>
      <c r="N9" s="251">
        <v>6</v>
      </c>
      <c r="O9" s="239" t="s">
        <v>826</v>
      </c>
      <c r="P9" s="256">
        <v>13.2</v>
      </c>
      <c r="Q9" s="253">
        <v>4.4999999999999998E-2</v>
      </c>
      <c r="R9" s="251">
        <v>6</v>
      </c>
      <c r="S9" s="239" t="s">
        <v>826</v>
      </c>
      <c r="T9" s="256">
        <v>24.3</v>
      </c>
      <c r="U9" s="253">
        <v>4.7E-2</v>
      </c>
      <c r="V9" s="251">
        <v>6</v>
      </c>
      <c r="W9" s="239" t="s">
        <v>840</v>
      </c>
      <c r="X9" s="256">
        <v>33.4</v>
      </c>
      <c r="Y9" s="253">
        <v>4.7E-2</v>
      </c>
      <c r="Z9" s="251">
        <v>6</v>
      </c>
      <c r="AA9" s="239" t="s">
        <v>823</v>
      </c>
      <c r="AB9" s="252">
        <v>35.1</v>
      </c>
      <c r="AC9" s="253">
        <v>3.9E-2</v>
      </c>
      <c r="AD9" s="251">
        <v>6</v>
      </c>
      <c r="AE9" s="239" t="s">
        <v>878</v>
      </c>
      <c r="AF9" s="252">
        <v>44.5</v>
      </c>
      <c r="AG9" s="253">
        <f t="shared" si="0"/>
        <v>3.7489469250210614E-2</v>
      </c>
    </row>
    <row r="10" spans="1:33" s="123" customFormat="1" ht="10.95" customHeight="1" x14ac:dyDescent="0.25">
      <c r="A10" s="185"/>
      <c r="B10" s="251">
        <v>7</v>
      </c>
      <c r="C10" s="239" t="s">
        <v>827</v>
      </c>
      <c r="D10" s="252">
        <v>3.2</v>
      </c>
      <c r="E10" s="253">
        <v>3.2000000000000001E-2</v>
      </c>
      <c r="F10" s="251">
        <v>7</v>
      </c>
      <c r="G10" s="239" t="s">
        <v>23</v>
      </c>
      <c r="H10" s="252">
        <v>3.9</v>
      </c>
      <c r="I10" s="253">
        <v>3.30788804071247E-2</v>
      </c>
      <c r="J10" s="251">
        <v>7</v>
      </c>
      <c r="K10" s="239" t="s">
        <v>23</v>
      </c>
      <c r="L10" s="252">
        <v>3.8</v>
      </c>
      <c r="M10" s="253">
        <v>2.6629292221443598E-2</v>
      </c>
      <c r="N10" s="251">
        <v>7</v>
      </c>
      <c r="O10" s="239" t="s">
        <v>841</v>
      </c>
      <c r="P10" s="256">
        <v>7.9</v>
      </c>
      <c r="Q10" s="253">
        <v>2.7E-2</v>
      </c>
      <c r="R10" s="251">
        <v>7</v>
      </c>
      <c r="S10" s="239" t="s">
        <v>840</v>
      </c>
      <c r="T10" s="256">
        <v>20</v>
      </c>
      <c r="U10" s="253">
        <v>3.9E-2</v>
      </c>
      <c r="V10" s="251">
        <v>7</v>
      </c>
      <c r="W10" s="239" t="s">
        <v>826</v>
      </c>
      <c r="X10" s="256">
        <v>32.6</v>
      </c>
      <c r="Y10" s="253">
        <v>4.5999999999999999E-2</v>
      </c>
      <c r="Z10" s="251">
        <v>7</v>
      </c>
      <c r="AA10" s="262" t="s">
        <v>882</v>
      </c>
      <c r="AB10" s="252">
        <v>29.6</v>
      </c>
      <c r="AC10" s="253">
        <v>3.3000000000000002E-2</v>
      </c>
      <c r="AD10" s="251">
        <v>7</v>
      </c>
      <c r="AE10" s="239" t="s">
        <v>879</v>
      </c>
      <c r="AF10" s="252">
        <v>44.2</v>
      </c>
      <c r="AG10" s="253">
        <f t="shared" si="0"/>
        <v>3.723673125526538E-2</v>
      </c>
    </row>
    <row r="11" spans="1:33" s="123" customFormat="1" ht="10.95" customHeight="1" x14ac:dyDescent="0.25">
      <c r="A11" s="185"/>
      <c r="B11" s="251">
        <v>8</v>
      </c>
      <c r="C11" s="239" t="s">
        <v>28</v>
      </c>
      <c r="D11" s="252">
        <v>1.9</v>
      </c>
      <c r="E11" s="253">
        <v>1.9E-2</v>
      </c>
      <c r="F11" s="251">
        <v>8</v>
      </c>
      <c r="G11" s="239" t="s">
        <v>841</v>
      </c>
      <c r="H11" s="252">
        <v>1.5</v>
      </c>
      <c r="I11" s="253">
        <v>1.27226463104326E-2</v>
      </c>
      <c r="J11" s="251">
        <v>8</v>
      </c>
      <c r="K11" s="239" t="s">
        <v>841</v>
      </c>
      <c r="L11" s="252">
        <v>3.4</v>
      </c>
      <c r="M11" s="253">
        <v>2.3826208829712699E-2</v>
      </c>
      <c r="N11" s="251">
        <v>8</v>
      </c>
      <c r="O11" s="239" t="s">
        <v>827</v>
      </c>
      <c r="P11" s="256">
        <v>6.4</v>
      </c>
      <c r="Q11" s="253">
        <v>2.1000000000000001E-2</v>
      </c>
      <c r="R11" s="251">
        <v>8</v>
      </c>
      <c r="S11" s="239" t="s">
        <v>827</v>
      </c>
      <c r="T11" s="256">
        <v>14.1</v>
      </c>
      <c r="U11" s="253">
        <v>2.7E-2</v>
      </c>
      <c r="V11" s="251">
        <v>8</v>
      </c>
      <c r="W11" s="239" t="s">
        <v>827</v>
      </c>
      <c r="X11" s="256">
        <v>17.100000000000001</v>
      </c>
      <c r="Y11" s="253">
        <v>2.4E-2</v>
      </c>
      <c r="Z11" s="251">
        <v>8</v>
      </c>
      <c r="AA11" s="239" t="s">
        <v>827</v>
      </c>
      <c r="AB11" s="252">
        <v>28.5</v>
      </c>
      <c r="AC11" s="253">
        <v>3.2000000000000001E-2</v>
      </c>
      <c r="AD11" s="251">
        <v>8</v>
      </c>
      <c r="AE11" s="239" t="s">
        <v>880</v>
      </c>
      <c r="AF11" s="252">
        <v>31.3</v>
      </c>
      <c r="AG11" s="253">
        <f t="shared" si="0"/>
        <v>2.6368997472620052E-2</v>
      </c>
    </row>
    <row r="12" spans="1:33" s="123" customFormat="1" ht="10.95" customHeight="1" x14ac:dyDescent="0.25">
      <c r="A12" s="185"/>
      <c r="B12" s="251">
        <v>9</v>
      </c>
      <c r="C12" s="239" t="s">
        <v>828</v>
      </c>
      <c r="D12" s="252">
        <v>3</v>
      </c>
      <c r="E12" s="253">
        <v>0.03</v>
      </c>
      <c r="F12" s="251">
        <v>9</v>
      </c>
      <c r="G12" s="239" t="s">
        <v>827</v>
      </c>
      <c r="H12" s="252">
        <v>3.2</v>
      </c>
      <c r="I12" s="253">
        <v>2.71416454622561E-2</v>
      </c>
      <c r="J12" s="251">
        <v>9</v>
      </c>
      <c r="K12" s="239" t="s">
        <v>827</v>
      </c>
      <c r="L12" s="252">
        <v>2.5</v>
      </c>
      <c r="M12" s="253">
        <v>1.7519271198318202E-2</v>
      </c>
      <c r="N12" s="251">
        <v>9</v>
      </c>
      <c r="O12" s="239" t="s">
        <v>23</v>
      </c>
      <c r="P12" s="256">
        <v>4.2</v>
      </c>
      <c r="Q12" s="253">
        <v>1.4E-2</v>
      </c>
      <c r="R12" s="251">
        <v>9</v>
      </c>
      <c r="S12" s="239" t="s">
        <v>842</v>
      </c>
      <c r="T12" s="256">
        <v>9.1999999999999993</v>
      </c>
      <c r="U12" s="253">
        <v>1.7999999999999999E-2</v>
      </c>
      <c r="V12" s="251">
        <v>9</v>
      </c>
      <c r="W12" s="239" t="s">
        <v>843</v>
      </c>
      <c r="X12" s="256">
        <v>16.2</v>
      </c>
      <c r="Y12" s="253">
        <v>2.3E-2</v>
      </c>
      <c r="Z12" s="251">
        <v>9</v>
      </c>
      <c r="AA12" s="239" t="s">
        <v>843</v>
      </c>
      <c r="AB12" s="252">
        <v>20.3</v>
      </c>
      <c r="AC12" s="253">
        <v>2.3E-2</v>
      </c>
      <c r="AD12" s="251">
        <v>9</v>
      </c>
      <c r="AE12" s="262" t="s">
        <v>882</v>
      </c>
      <c r="AF12" s="252">
        <v>28.9</v>
      </c>
      <c r="AG12" s="253">
        <f t="shared" si="0"/>
        <v>2.4347093513058127E-2</v>
      </c>
    </row>
    <row r="13" spans="1:33" s="123" customFormat="1" ht="10.95" customHeight="1" x14ac:dyDescent="0.25">
      <c r="A13" s="185"/>
      <c r="B13" s="251">
        <v>10</v>
      </c>
      <c r="C13" s="239" t="s">
        <v>24</v>
      </c>
      <c r="D13" s="252">
        <v>0.8</v>
      </c>
      <c r="E13" s="253">
        <v>8.0000000000000002E-3</v>
      </c>
      <c r="F13" s="251">
        <v>10</v>
      </c>
      <c r="G13" s="239" t="s">
        <v>28</v>
      </c>
      <c r="H13" s="252">
        <v>2.2000000000000002</v>
      </c>
      <c r="I13" s="253">
        <v>1.8659881255301099E-2</v>
      </c>
      <c r="J13" s="251">
        <v>10</v>
      </c>
      <c r="K13" s="239" t="s">
        <v>28</v>
      </c>
      <c r="L13" s="252">
        <v>2</v>
      </c>
      <c r="M13" s="253">
        <v>1.4015416958654501E-2</v>
      </c>
      <c r="N13" s="251">
        <v>10</v>
      </c>
      <c r="O13" s="239" t="s">
        <v>33</v>
      </c>
      <c r="P13" s="256">
        <v>3.1</v>
      </c>
      <c r="Q13" s="253">
        <v>0.01</v>
      </c>
      <c r="R13" s="251">
        <v>10</v>
      </c>
      <c r="S13" s="239" t="s">
        <v>844</v>
      </c>
      <c r="T13" s="256">
        <v>7.4</v>
      </c>
      <c r="U13" s="253">
        <v>1.4E-2</v>
      </c>
      <c r="V13" s="251">
        <v>10</v>
      </c>
      <c r="W13" s="239" t="s">
        <v>842</v>
      </c>
      <c r="X13" s="256">
        <v>10.5</v>
      </c>
      <c r="Y13" s="253">
        <v>1.4999999999999999E-2</v>
      </c>
      <c r="Z13" s="251">
        <v>10</v>
      </c>
      <c r="AA13" s="239" t="s">
        <v>842</v>
      </c>
      <c r="AB13" s="252">
        <v>18.8</v>
      </c>
      <c r="AC13" s="253">
        <v>2.1000000000000001E-2</v>
      </c>
      <c r="AD13" s="251">
        <v>10</v>
      </c>
      <c r="AE13" s="239" t="s">
        <v>881</v>
      </c>
      <c r="AF13" s="252">
        <v>28.5</v>
      </c>
      <c r="AG13" s="253">
        <f t="shared" si="0"/>
        <v>2.4010109519797811E-2</v>
      </c>
    </row>
    <row r="14" spans="1:33" s="123" customFormat="1" ht="10.95" customHeight="1" x14ac:dyDescent="0.25">
      <c r="A14" s="185"/>
      <c r="B14" s="333" t="s">
        <v>829</v>
      </c>
      <c r="C14" s="334"/>
      <c r="D14" s="252">
        <v>19.899999999999999</v>
      </c>
      <c r="E14" s="253">
        <v>0.19900000000000001</v>
      </c>
      <c r="F14" s="333" t="s">
        <v>829</v>
      </c>
      <c r="G14" s="334"/>
      <c r="H14" s="252">
        <v>15.8</v>
      </c>
      <c r="I14" s="253">
        <v>0.13401187446988999</v>
      </c>
      <c r="J14" s="333" t="s">
        <v>829</v>
      </c>
      <c r="K14" s="334"/>
      <c r="L14" s="239">
        <v>11.2</v>
      </c>
      <c r="M14" s="253">
        <v>7.8486334968465299E-2</v>
      </c>
      <c r="N14" s="333" t="s">
        <v>845</v>
      </c>
      <c r="O14" s="334"/>
      <c r="P14" s="256">
        <v>26</v>
      </c>
      <c r="Q14" s="253">
        <v>8.7999999999999995E-2</v>
      </c>
      <c r="R14" s="333" t="s">
        <v>829</v>
      </c>
      <c r="S14" s="334"/>
      <c r="T14" s="256">
        <v>44.5</v>
      </c>
      <c r="U14" s="253">
        <v>8.5999999999999993E-2</v>
      </c>
      <c r="V14" s="333" t="s">
        <v>829</v>
      </c>
      <c r="W14" s="334"/>
      <c r="X14" s="256">
        <v>49.4</v>
      </c>
      <c r="Y14" s="253">
        <v>7.0000000000000007E-2</v>
      </c>
      <c r="Z14" s="333" t="s">
        <v>829</v>
      </c>
      <c r="AA14" s="334"/>
      <c r="AB14" s="252">
        <v>94.3</v>
      </c>
      <c r="AC14" s="253">
        <v>0.105</v>
      </c>
      <c r="AD14" s="333" t="s">
        <v>829</v>
      </c>
      <c r="AE14" s="334"/>
      <c r="AF14" s="252">
        <v>124.9</v>
      </c>
      <c r="AG14" s="253">
        <f t="shared" si="0"/>
        <v>0.10522325189553497</v>
      </c>
    </row>
    <row r="15" spans="1:33" s="123" customFormat="1" ht="10.95" customHeight="1" x14ac:dyDescent="0.25">
      <c r="A15" s="185"/>
      <c r="B15" s="335" t="s">
        <v>830</v>
      </c>
      <c r="C15" s="336"/>
      <c r="D15" s="254">
        <f>SUM(D4:D14)</f>
        <v>100</v>
      </c>
      <c r="E15" s="255">
        <v>1</v>
      </c>
      <c r="F15" s="335" t="s">
        <v>830</v>
      </c>
      <c r="G15" s="336"/>
      <c r="H15" s="254">
        <v>118</v>
      </c>
      <c r="I15" s="255">
        <v>1</v>
      </c>
      <c r="J15" s="335" t="s">
        <v>830</v>
      </c>
      <c r="K15" s="336"/>
      <c r="L15" s="254">
        <v>148</v>
      </c>
      <c r="M15" s="255">
        <v>1</v>
      </c>
      <c r="N15" s="335" t="s">
        <v>830</v>
      </c>
      <c r="O15" s="336"/>
      <c r="P15" s="254">
        <v>308</v>
      </c>
      <c r="Q15" s="255">
        <v>1</v>
      </c>
      <c r="R15" s="335" t="s">
        <v>830</v>
      </c>
      <c r="S15" s="336"/>
      <c r="T15" s="254">
        <v>515</v>
      </c>
      <c r="U15" s="255">
        <v>1</v>
      </c>
      <c r="V15" s="335" t="s">
        <v>830</v>
      </c>
      <c r="W15" s="336"/>
      <c r="X15" s="254">
        <v>710</v>
      </c>
      <c r="Y15" s="255">
        <v>1</v>
      </c>
      <c r="Z15" s="335" t="s">
        <v>830</v>
      </c>
      <c r="AA15" s="336"/>
      <c r="AB15" s="254">
        <v>901</v>
      </c>
      <c r="AC15" s="255">
        <v>1</v>
      </c>
      <c r="AD15" s="335" t="s">
        <v>830</v>
      </c>
      <c r="AE15" s="336"/>
      <c r="AF15" s="254">
        <v>1187</v>
      </c>
      <c r="AG15" s="255">
        <v>1</v>
      </c>
    </row>
    <row r="16" spans="1:33" s="123" customFormat="1" ht="10.95" customHeight="1" x14ac:dyDescent="0.25">
      <c r="A16" s="185"/>
      <c r="B16" s="185" t="s">
        <v>819</v>
      </c>
      <c r="K16" s="123" t="s">
        <v>67</v>
      </c>
    </row>
    <row r="17" spans="1:33" ht="8.25" customHeight="1" x14ac:dyDescent="0.25">
      <c r="A17" s="10"/>
    </row>
    <row r="18" spans="1:33" ht="14" customHeight="1" x14ac:dyDescent="0.25">
      <c r="B18" s="329" t="s">
        <v>870</v>
      </c>
      <c r="C18" s="330"/>
      <c r="D18" s="330"/>
      <c r="E18" s="330"/>
    </row>
    <row r="19" spans="1:33" s="123" customFormat="1" ht="10.95" customHeight="1" x14ac:dyDescent="0.25">
      <c r="A19" s="185"/>
      <c r="B19" s="332" t="s">
        <v>820</v>
      </c>
      <c r="C19" s="332"/>
      <c r="D19" s="332"/>
      <c r="E19" s="332"/>
      <c r="F19" s="332" t="s">
        <v>831</v>
      </c>
      <c r="G19" s="332"/>
      <c r="H19" s="332"/>
      <c r="I19" s="332"/>
      <c r="J19" s="332" t="s">
        <v>832</v>
      </c>
      <c r="K19" s="332"/>
      <c r="L19" s="332"/>
      <c r="M19" s="332"/>
      <c r="N19" s="332" t="s">
        <v>833</v>
      </c>
      <c r="O19" s="332"/>
      <c r="P19" s="332"/>
      <c r="Q19" s="332"/>
      <c r="R19" s="332" t="s">
        <v>834</v>
      </c>
      <c r="S19" s="332"/>
      <c r="T19" s="332"/>
      <c r="U19" s="332"/>
      <c r="V19" s="332" t="s">
        <v>835</v>
      </c>
      <c r="W19" s="332"/>
      <c r="X19" s="332"/>
      <c r="Y19" s="332"/>
      <c r="Z19" s="332" t="s">
        <v>836</v>
      </c>
      <c r="AA19" s="332"/>
      <c r="AB19" s="332"/>
      <c r="AC19" s="332"/>
      <c r="AD19" s="332" t="s">
        <v>847</v>
      </c>
      <c r="AE19" s="332"/>
      <c r="AF19" s="332"/>
      <c r="AG19" s="332"/>
    </row>
    <row r="20" spans="1:33" s="123" customFormat="1" ht="10.95" customHeight="1" x14ac:dyDescent="0.25">
      <c r="A20" s="185"/>
      <c r="B20" s="248" t="s">
        <v>837</v>
      </c>
      <c r="C20" s="249" t="s">
        <v>821</v>
      </c>
      <c r="D20" s="249" t="s">
        <v>865</v>
      </c>
      <c r="E20" s="250" t="s">
        <v>822</v>
      </c>
      <c r="F20" s="248" t="s">
        <v>837</v>
      </c>
      <c r="G20" s="249" t="s">
        <v>821</v>
      </c>
      <c r="H20" s="249" t="s">
        <v>865</v>
      </c>
      <c r="I20" s="250" t="s">
        <v>822</v>
      </c>
      <c r="J20" s="248" t="s">
        <v>837</v>
      </c>
      <c r="K20" s="249" t="s">
        <v>821</v>
      </c>
      <c r="L20" s="249" t="s">
        <v>865</v>
      </c>
      <c r="M20" s="250" t="s">
        <v>822</v>
      </c>
      <c r="N20" s="248" t="s">
        <v>837</v>
      </c>
      <c r="O20" s="249" t="s">
        <v>821</v>
      </c>
      <c r="P20" s="249" t="s">
        <v>865</v>
      </c>
      <c r="Q20" s="250" t="s">
        <v>822</v>
      </c>
      <c r="R20" s="248" t="s">
        <v>837</v>
      </c>
      <c r="S20" s="249" t="s">
        <v>821</v>
      </c>
      <c r="T20" s="249" t="s">
        <v>865</v>
      </c>
      <c r="U20" s="250" t="s">
        <v>822</v>
      </c>
      <c r="V20" s="248" t="s">
        <v>837</v>
      </c>
      <c r="W20" s="249" t="s">
        <v>821</v>
      </c>
      <c r="X20" s="249" t="s">
        <v>865</v>
      </c>
      <c r="Y20" s="250" t="s">
        <v>822</v>
      </c>
      <c r="Z20" s="248" t="s">
        <v>837</v>
      </c>
      <c r="AA20" s="249" t="s">
        <v>821</v>
      </c>
      <c r="AB20" s="249" t="s">
        <v>865</v>
      </c>
      <c r="AC20" s="250" t="s">
        <v>822</v>
      </c>
      <c r="AD20" s="248" t="s">
        <v>837</v>
      </c>
      <c r="AE20" s="249" t="s">
        <v>821</v>
      </c>
      <c r="AF20" s="249" t="s">
        <v>865</v>
      </c>
      <c r="AG20" s="250" t="s">
        <v>822</v>
      </c>
    </row>
    <row r="21" spans="1:33" s="123" customFormat="1" ht="10.95" customHeight="1" x14ac:dyDescent="0.25">
      <c r="A21" s="185"/>
      <c r="B21" s="251">
        <v>1</v>
      </c>
      <c r="C21" s="239" t="s">
        <v>17</v>
      </c>
      <c r="D21" s="252">
        <v>23.5</v>
      </c>
      <c r="E21" s="253">
        <v>0.41300527240773299</v>
      </c>
      <c r="F21" s="251">
        <v>1</v>
      </c>
      <c r="G21" s="239" t="s">
        <v>17</v>
      </c>
      <c r="H21" s="252">
        <v>31.46</v>
      </c>
      <c r="I21" s="253">
        <v>0.50578778135048197</v>
      </c>
      <c r="J21" s="251">
        <v>1</v>
      </c>
      <c r="K21" s="239" t="s">
        <v>17</v>
      </c>
      <c r="L21" s="252">
        <v>31.79</v>
      </c>
      <c r="M21" s="253">
        <v>0.5</v>
      </c>
      <c r="N21" s="251">
        <v>1</v>
      </c>
      <c r="O21" s="239" t="s">
        <v>17</v>
      </c>
      <c r="P21" s="256">
        <v>80.510000000000005</v>
      </c>
      <c r="Q21" s="253">
        <v>0.52100000000000002</v>
      </c>
      <c r="R21" s="251">
        <v>1</v>
      </c>
      <c r="S21" s="239" t="s">
        <v>17</v>
      </c>
      <c r="T21" s="256">
        <v>142.02000000000001</v>
      </c>
      <c r="U21" s="253">
        <v>0.48199999999999998</v>
      </c>
      <c r="V21" s="251">
        <v>1</v>
      </c>
      <c r="W21" s="239" t="s">
        <v>17</v>
      </c>
      <c r="X21" s="256">
        <v>167.1</v>
      </c>
      <c r="Y21" s="253">
        <v>0.43109999999999998</v>
      </c>
      <c r="Z21" s="251">
        <v>1</v>
      </c>
      <c r="AA21" s="239" t="s">
        <v>17</v>
      </c>
      <c r="AB21" s="252">
        <v>246.01</v>
      </c>
      <c r="AC21" s="253">
        <v>0.45079999999999998</v>
      </c>
      <c r="AD21" s="251">
        <v>1</v>
      </c>
      <c r="AE21" s="239" t="s">
        <v>17</v>
      </c>
      <c r="AF21" s="252">
        <v>333.57</v>
      </c>
      <c r="AG21" s="253">
        <v>0.43419999999999997</v>
      </c>
    </row>
    <row r="22" spans="1:33" s="123" customFormat="1" ht="10.95" customHeight="1" x14ac:dyDescent="0.25">
      <c r="A22" s="185"/>
      <c r="B22" s="251">
        <v>2</v>
      </c>
      <c r="C22" s="239" t="s">
        <v>15</v>
      </c>
      <c r="D22" s="252">
        <v>11.4</v>
      </c>
      <c r="E22" s="253">
        <v>0.200351493848858</v>
      </c>
      <c r="F22" s="251">
        <v>2</v>
      </c>
      <c r="G22" s="239" t="s">
        <v>15</v>
      </c>
      <c r="H22" s="252">
        <v>10.75</v>
      </c>
      <c r="I22" s="253">
        <v>0.17282958199356899</v>
      </c>
      <c r="J22" s="251">
        <v>2</v>
      </c>
      <c r="K22" s="239" t="s">
        <v>15</v>
      </c>
      <c r="L22" s="252">
        <v>9.48</v>
      </c>
      <c r="M22" s="253">
        <v>0.14899999999999999</v>
      </c>
      <c r="N22" s="251">
        <v>2</v>
      </c>
      <c r="O22" s="239" t="s">
        <v>15</v>
      </c>
      <c r="P22" s="256">
        <v>25.06</v>
      </c>
      <c r="Q22" s="253">
        <v>0.16200000000000001</v>
      </c>
      <c r="R22" s="251">
        <v>2</v>
      </c>
      <c r="S22" s="239" t="s">
        <v>15</v>
      </c>
      <c r="T22" s="256">
        <v>69.099999999999994</v>
      </c>
      <c r="U22" s="253">
        <v>0.23449999999999999</v>
      </c>
      <c r="V22" s="251">
        <v>2</v>
      </c>
      <c r="W22" s="239" t="s">
        <v>15</v>
      </c>
      <c r="X22" s="256">
        <v>105.48</v>
      </c>
      <c r="Y22" s="253">
        <v>0.27210000000000001</v>
      </c>
      <c r="Z22" s="251">
        <v>2</v>
      </c>
      <c r="AA22" s="239" t="s">
        <v>15</v>
      </c>
      <c r="AB22" s="252">
        <v>135.02000000000001</v>
      </c>
      <c r="AC22" s="253">
        <v>0.24740000000000001</v>
      </c>
      <c r="AD22" s="251">
        <v>2</v>
      </c>
      <c r="AE22" s="239" t="s">
        <v>15</v>
      </c>
      <c r="AF22" s="252">
        <v>165.77</v>
      </c>
      <c r="AG22" s="253">
        <v>0.21579999999999999</v>
      </c>
    </row>
    <row r="23" spans="1:33" s="123" customFormat="1" ht="10.95" customHeight="1" x14ac:dyDescent="0.25">
      <c r="A23" s="185"/>
      <c r="B23" s="251">
        <v>3</v>
      </c>
      <c r="C23" s="239" t="s">
        <v>47</v>
      </c>
      <c r="D23" s="252">
        <v>3.1</v>
      </c>
      <c r="E23" s="253">
        <v>5.4481546572934997E-2</v>
      </c>
      <c r="F23" s="251">
        <v>3</v>
      </c>
      <c r="G23" s="239" t="s">
        <v>22</v>
      </c>
      <c r="H23" s="252">
        <v>3.43</v>
      </c>
      <c r="I23" s="253">
        <v>5.5144694533762098E-2</v>
      </c>
      <c r="J23" s="251">
        <v>3</v>
      </c>
      <c r="K23" s="239" t="s">
        <v>19</v>
      </c>
      <c r="L23" s="252">
        <v>4.13</v>
      </c>
      <c r="M23" s="253">
        <v>6.5000000000000002E-2</v>
      </c>
      <c r="N23" s="251">
        <v>3</v>
      </c>
      <c r="O23" s="239" t="s">
        <v>21</v>
      </c>
      <c r="P23" s="256">
        <v>9.0500000000000007</v>
      </c>
      <c r="Q23" s="253">
        <v>5.8999999999999997E-2</v>
      </c>
      <c r="R23" s="251">
        <v>3</v>
      </c>
      <c r="S23" s="239" t="s">
        <v>21</v>
      </c>
      <c r="T23" s="256">
        <v>19.239999999999998</v>
      </c>
      <c r="U23" s="253">
        <v>6.5299999999999997E-2</v>
      </c>
      <c r="V23" s="251">
        <v>3</v>
      </c>
      <c r="W23" s="239" t="s">
        <v>21</v>
      </c>
      <c r="X23" s="256">
        <v>32.9</v>
      </c>
      <c r="Y23" s="253">
        <v>8.4900000000000003E-2</v>
      </c>
      <c r="Z23" s="251">
        <v>3</v>
      </c>
      <c r="AA23" s="239" t="s">
        <v>21</v>
      </c>
      <c r="AB23" s="252">
        <v>36.479999999999997</v>
      </c>
      <c r="AC23" s="253">
        <v>6.6799999999999998E-2</v>
      </c>
      <c r="AD23" s="251">
        <v>3</v>
      </c>
      <c r="AE23" s="239" t="s">
        <v>21</v>
      </c>
      <c r="AF23" s="252">
        <v>53.61</v>
      </c>
      <c r="AG23" s="253">
        <v>6.9800000000000001E-2</v>
      </c>
    </row>
    <row r="24" spans="1:33" s="123" customFormat="1" ht="10.95" customHeight="1" x14ac:dyDescent="0.25">
      <c r="A24" s="185"/>
      <c r="B24" s="251">
        <v>4</v>
      </c>
      <c r="C24" s="239" t="s">
        <v>29</v>
      </c>
      <c r="D24" s="252">
        <v>2.1</v>
      </c>
      <c r="E24" s="253">
        <v>3.6906854130052701E-2</v>
      </c>
      <c r="F24" s="251">
        <v>4</v>
      </c>
      <c r="G24" s="239" t="s">
        <v>48</v>
      </c>
      <c r="H24" s="252">
        <v>1.95</v>
      </c>
      <c r="I24" s="253">
        <v>3.1350482315112498E-2</v>
      </c>
      <c r="J24" s="251">
        <v>4</v>
      </c>
      <c r="K24" s="239" t="s">
        <v>27</v>
      </c>
      <c r="L24" s="252">
        <v>3.55</v>
      </c>
      <c r="M24" s="253">
        <v>5.6000000000000001E-2</v>
      </c>
      <c r="N24" s="251">
        <v>4</v>
      </c>
      <c r="O24" s="239" t="s">
        <v>22</v>
      </c>
      <c r="P24" s="256">
        <v>8.02</v>
      </c>
      <c r="Q24" s="253">
        <v>5.1999999999999998E-2</v>
      </c>
      <c r="R24" s="251">
        <v>4</v>
      </c>
      <c r="S24" s="239" t="s">
        <v>22</v>
      </c>
      <c r="T24" s="256">
        <v>13.33</v>
      </c>
      <c r="U24" s="253">
        <v>4.5199999999999997E-2</v>
      </c>
      <c r="V24" s="251">
        <v>4</v>
      </c>
      <c r="W24" s="239" t="s">
        <v>32</v>
      </c>
      <c r="X24" s="256">
        <v>17.260000000000002</v>
      </c>
      <c r="Y24" s="253">
        <v>4.4499999999999998E-2</v>
      </c>
      <c r="Z24" s="251">
        <v>4</v>
      </c>
      <c r="AA24" s="239" t="s">
        <v>22</v>
      </c>
      <c r="AB24" s="252">
        <v>26.57</v>
      </c>
      <c r="AC24" s="253">
        <v>4.8500000000000001E-2</v>
      </c>
      <c r="AD24" s="251">
        <v>4</v>
      </c>
      <c r="AE24" s="239" t="s">
        <v>22</v>
      </c>
      <c r="AF24" s="252">
        <v>43.44</v>
      </c>
      <c r="AG24" s="253">
        <v>5.6500000000000002E-2</v>
      </c>
    </row>
    <row r="25" spans="1:33" s="123" customFormat="1" ht="10.95" customHeight="1" x14ac:dyDescent="0.25">
      <c r="A25" s="185"/>
      <c r="B25" s="251">
        <v>5</v>
      </c>
      <c r="C25" s="239" t="s">
        <v>26</v>
      </c>
      <c r="D25" s="252">
        <v>1.9</v>
      </c>
      <c r="E25" s="253">
        <v>3.3391915641476297E-2</v>
      </c>
      <c r="F25" s="251">
        <v>5</v>
      </c>
      <c r="G25" s="239" t="s">
        <v>32</v>
      </c>
      <c r="H25" s="252">
        <v>1.64</v>
      </c>
      <c r="I25" s="253">
        <v>2.6366559485530499E-2</v>
      </c>
      <c r="J25" s="251">
        <v>5</v>
      </c>
      <c r="K25" s="239" t="s">
        <v>22</v>
      </c>
      <c r="L25" s="252">
        <v>3.32</v>
      </c>
      <c r="M25" s="253">
        <v>5.1999999999999998E-2</v>
      </c>
      <c r="N25" s="251">
        <v>5</v>
      </c>
      <c r="O25" s="239" t="s">
        <v>20</v>
      </c>
      <c r="P25" s="256">
        <v>6.25</v>
      </c>
      <c r="Q25" s="253">
        <v>0.04</v>
      </c>
      <c r="R25" s="251">
        <v>5</v>
      </c>
      <c r="S25" s="239" t="s">
        <v>30</v>
      </c>
      <c r="T25" s="256">
        <v>7.73</v>
      </c>
      <c r="U25" s="253">
        <v>2.6200000000000001E-2</v>
      </c>
      <c r="V25" s="251">
        <v>5</v>
      </c>
      <c r="W25" s="239" t="s">
        <v>22</v>
      </c>
      <c r="X25" s="256">
        <v>15.91</v>
      </c>
      <c r="Y25" s="253">
        <v>4.1000000000000002E-2</v>
      </c>
      <c r="Z25" s="251">
        <v>5</v>
      </c>
      <c r="AA25" s="239" t="s">
        <v>32</v>
      </c>
      <c r="AB25" s="252">
        <v>18.71</v>
      </c>
      <c r="AC25" s="253">
        <v>3.4099999999999998E-2</v>
      </c>
      <c r="AD25" s="251">
        <v>5</v>
      </c>
      <c r="AE25" s="239" t="s">
        <v>32</v>
      </c>
      <c r="AF25" s="252">
        <v>31.61</v>
      </c>
      <c r="AG25" s="253">
        <v>4.1099999999999998E-2</v>
      </c>
    </row>
    <row r="26" spans="1:33" s="123" customFormat="1" ht="10.95" customHeight="1" x14ac:dyDescent="0.25">
      <c r="A26" s="185"/>
      <c r="B26" s="251">
        <v>6</v>
      </c>
      <c r="C26" s="239" t="s">
        <v>49</v>
      </c>
      <c r="D26" s="252">
        <v>1.7</v>
      </c>
      <c r="E26" s="253">
        <v>2.9876977152899799E-2</v>
      </c>
      <c r="F26" s="251">
        <v>6</v>
      </c>
      <c r="G26" s="239" t="s">
        <v>27</v>
      </c>
      <c r="H26" s="252">
        <v>1.49</v>
      </c>
      <c r="I26" s="253">
        <v>2.39549839228296E-2</v>
      </c>
      <c r="J26" s="251">
        <v>6</v>
      </c>
      <c r="K26" s="239" t="s">
        <v>18</v>
      </c>
      <c r="L26" s="252">
        <v>2.2400000000000002</v>
      </c>
      <c r="M26" s="253">
        <v>3.5000000000000003E-2</v>
      </c>
      <c r="N26" s="251">
        <v>6</v>
      </c>
      <c r="O26" s="239" t="s">
        <v>35</v>
      </c>
      <c r="P26" s="256">
        <v>3.22</v>
      </c>
      <c r="Q26" s="253">
        <v>2.1000000000000001E-2</v>
      </c>
      <c r="R26" s="251">
        <v>6</v>
      </c>
      <c r="S26" s="239" t="s">
        <v>32</v>
      </c>
      <c r="T26" s="256">
        <v>7.18</v>
      </c>
      <c r="U26" s="253">
        <v>2.4400000000000002E-2</v>
      </c>
      <c r="V26" s="251">
        <v>6</v>
      </c>
      <c r="W26" s="239" t="s">
        <v>35</v>
      </c>
      <c r="X26" s="256">
        <v>8.69</v>
      </c>
      <c r="Y26" s="253">
        <v>2.24E-2</v>
      </c>
      <c r="Z26" s="251">
        <v>6</v>
      </c>
      <c r="AA26" s="239" t="s">
        <v>35</v>
      </c>
      <c r="AB26" s="252">
        <v>17.41</v>
      </c>
      <c r="AC26" s="253">
        <v>3.1699999999999999E-2</v>
      </c>
      <c r="AD26" s="251">
        <v>6</v>
      </c>
      <c r="AE26" s="239" t="s">
        <v>30</v>
      </c>
      <c r="AF26" s="252">
        <v>24.35</v>
      </c>
      <c r="AG26" s="253">
        <v>3.1699999999999999E-2</v>
      </c>
    </row>
    <row r="27" spans="1:33" s="123" customFormat="1" ht="10.95" customHeight="1" x14ac:dyDescent="0.25">
      <c r="A27" s="185"/>
      <c r="B27" s="251">
        <v>7</v>
      </c>
      <c r="C27" s="239" t="s">
        <v>32</v>
      </c>
      <c r="D27" s="252">
        <v>1.3</v>
      </c>
      <c r="E27" s="253">
        <v>2.2847100175746898E-2</v>
      </c>
      <c r="F27" s="251">
        <v>7</v>
      </c>
      <c r="G27" s="239" t="s">
        <v>50</v>
      </c>
      <c r="H27" s="252">
        <v>1.43</v>
      </c>
      <c r="I27" s="253">
        <v>2.29903536977492E-2</v>
      </c>
      <c r="J27" s="251">
        <v>7</v>
      </c>
      <c r="K27" s="239" t="s">
        <v>32</v>
      </c>
      <c r="L27" s="252">
        <v>1.18</v>
      </c>
      <c r="M27" s="253">
        <v>1.9E-2</v>
      </c>
      <c r="N27" s="251">
        <v>7</v>
      </c>
      <c r="O27" s="239" t="s">
        <v>32</v>
      </c>
      <c r="P27" s="256">
        <v>3</v>
      </c>
      <c r="Q27" s="253">
        <v>1.9E-2</v>
      </c>
      <c r="R27" s="251">
        <v>7</v>
      </c>
      <c r="S27" s="239" t="s">
        <v>35</v>
      </c>
      <c r="T27" s="256">
        <v>6.1</v>
      </c>
      <c r="U27" s="253">
        <v>2.07E-2</v>
      </c>
      <c r="V27" s="251">
        <v>7</v>
      </c>
      <c r="W27" s="239" t="s">
        <v>20</v>
      </c>
      <c r="X27" s="256">
        <v>8.34</v>
      </c>
      <c r="Y27" s="253">
        <v>2.1499999999999998E-2</v>
      </c>
      <c r="Z27" s="251">
        <v>7</v>
      </c>
      <c r="AA27" s="239" t="s">
        <v>30</v>
      </c>
      <c r="AB27" s="252">
        <v>15.86</v>
      </c>
      <c r="AC27" s="253">
        <v>2.8899999999999999E-2</v>
      </c>
      <c r="AD27" s="251">
        <v>7</v>
      </c>
      <c r="AE27" s="239" t="s">
        <v>35</v>
      </c>
      <c r="AF27" s="252">
        <v>20.71</v>
      </c>
      <c r="AG27" s="253">
        <v>2.7E-2</v>
      </c>
    </row>
    <row r="28" spans="1:33" s="123" customFormat="1" ht="10.95" customHeight="1" x14ac:dyDescent="0.25">
      <c r="A28" s="185"/>
      <c r="B28" s="251">
        <v>8</v>
      </c>
      <c r="C28" s="239" t="s">
        <v>51</v>
      </c>
      <c r="D28" s="252">
        <v>0.8</v>
      </c>
      <c r="E28" s="253">
        <v>1.4059753954305801E-2</v>
      </c>
      <c r="F28" s="251">
        <v>8</v>
      </c>
      <c r="G28" s="239" t="s">
        <v>26</v>
      </c>
      <c r="H28" s="252">
        <v>1.21</v>
      </c>
      <c r="I28" s="253">
        <v>1.9453376205787801E-2</v>
      </c>
      <c r="J28" s="251">
        <v>8</v>
      </c>
      <c r="K28" s="239" t="s">
        <v>52</v>
      </c>
      <c r="L28" s="252">
        <v>0.95</v>
      </c>
      <c r="M28" s="253">
        <v>1.4999999999999999E-2</v>
      </c>
      <c r="N28" s="251">
        <v>8</v>
      </c>
      <c r="O28" s="239" t="s">
        <v>53</v>
      </c>
      <c r="P28" s="256">
        <v>2.92</v>
      </c>
      <c r="Q28" s="253">
        <v>1.9E-2</v>
      </c>
      <c r="R28" s="251">
        <v>8</v>
      </c>
      <c r="S28" s="239" t="s">
        <v>26</v>
      </c>
      <c r="T28" s="256">
        <v>5.36</v>
      </c>
      <c r="U28" s="253">
        <v>1.8200000000000001E-2</v>
      </c>
      <c r="V28" s="251">
        <v>8</v>
      </c>
      <c r="W28" s="239" t="s">
        <v>30</v>
      </c>
      <c r="X28" s="256">
        <v>8.3000000000000007</v>
      </c>
      <c r="Y28" s="253">
        <v>2.1399999999999999E-2</v>
      </c>
      <c r="Z28" s="251">
        <v>8</v>
      </c>
      <c r="AA28" s="239" t="s">
        <v>54</v>
      </c>
      <c r="AB28" s="252">
        <v>12.77</v>
      </c>
      <c r="AC28" s="253">
        <v>2.3300000000000001E-2</v>
      </c>
      <c r="AD28" s="251">
        <v>8</v>
      </c>
      <c r="AE28" s="239" t="s">
        <v>54</v>
      </c>
      <c r="AF28" s="252">
        <v>19.5</v>
      </c>
      <c r="AG28" s="253">
        <v>2.5399999999999999E-2</v>
      </c>
    </row>
    <row r="29" spans="1:33" s="123" customFormat="1" ht="10.95" customHeight="1" x14ac:dyDescent="0.25">
      <c r="A29" s="185"/>
      <c r="B29" s="251">
        <v>9</v>
      </c>
      <c r="C29" s="239" t="s">
        <v>27</v>
      </c>
      <c r="D29" s="252">
        <v>0.7</v>
      </c>
      <c r="E29" s="253">
        <v>1.23022847100176E-2</v>
      </c>
      <c r="F29" s="251">
        <v>9</v>
      </c>
      <c r="G29" s="239" t="s">
        <v>55</v>
      </c>
      <c r="H29" s="252">
        <v>0.69</v>
      </c>
      <c r="I29" s="253">
        <v>1.10932475884244E-2</v>
      </c>
      <c r="J29" s="251">
        <v>9</v>
      </c>
      <c r="K29" s="239" t="s">
        <v>48</v>
      </c>
      <c r="L29" s="252">
        <v>0.92</v>
      </c>
      <c r="M29" s="253">
        <v>1.4E-2</v>
      </c>
      <c r="N29" s="251">
        <v>9</v>
      </c>
      <c r="O29" s="239" t="s">
        <v>26</v>
      </c>
      <c r="P29" s="256">
        <v>2.4500000000000002</v>
      </c>
      <c r="Q29" s="253">
        <v>1.6E-2</v>
      </c>
      <c r="R29" s="251">
        <v>9</v>
      </c>
      <c r="S29" s="239" t="s">
        <v>20</v>
      </c>
      <c r="T29" s="256">
        <v>5.2</v>
      </c>
      <c r="U29" s="253">
        <v>1.77E-2</v>
      </c>
      <c r="V29" s="251">
        <v>9</v>
      </c>
      <c r="W29" s="239" t="s">
        <v>26</v>
      </c>
      <c r="X29" s="256">
        <v>5.94</v>
      </c>
      <c r="Y29" s="253">
        <v>1.5299999999999999E-2</v>
      </c>
      <c r="Z29" s="251">
        <v>9</v>
      </c>
      <c r="AA29" s="239" t="s">
        <v>56</v>
      </c>
      <c r="AB29" s="252">
        <v>10.94</v>
      </c>
      <c r="AC29" s="253">
        <v>1.9900000000000001E-2</v>
      </c>
      <c r="AD29" s="251">
        <v>9</v>
      </c>
      <c r="AE29" s="239" t="s">
        <v>56</v>
      </c>
      <c r="AF29" s="252">
        <v>15.93</v>
      </c>
      <c r="AG29" s="253">
        <v>2.07E-2</v>
      </c>
    </row>
    <row r="30" spans="1:33" s="123" customFormat="1" ht="10.95" customHeight="1" x14ac:dyDescent="0.25">
      <c r="A30" s="185"/>
      <c r="B30" s="251">
        <v>10</v>
      </c>
      <c r="C30" s="239" t="s">
        <v>57</v>
      </c>
      <c r="D30" s="252">
        <v>0.6</v>
      </c>
      <c r="E30" s="253">
        <v>1.05448154657293E-2</v>
      </c>
      <c r="F30" s="251">
        <v>10</v>
      </c>
      <c r="G30" s="239" t="s">
        <v>30</v>
      </c>
      <c r="H30" s="252">
        <v>0.65</v>
      </c>
      <c r="I30" s="253">
        <v>1.0450160771704201E-2</v>
      </c>
      <c r="J30" s="251">
        <v>10</v>
      </c>
      <c r="K30" s="239" t="s">
        <v>26</v>
      </c>
      <c r="L30" s="252">
        <v>0.85</v>
      </c>
      <c r="M30" s="253">
        <v>1.2999999999999999E-2</v>
      </c>
      <c r="N30" s="251">
        <v>10</v>
      </c>
      <c r="O30" s="239" t="s">
        <v>30</v>
      </c>
      <c r="P30" s="256">
        <v>2.06</v>
      </c>
      <c r="Q30" s="253">
        <v>1.2999999999999999E-2</v>
      </c>
      <c r="R30" s="251">
        <v>10</v>
      </c>
      <c r="S30" s="239" t="s">
        <v>54</v>
      </c>
      <c r="T30" s="256">
        <v>4.5199999999999996</v>
      </c>
      <c r="U30" s="253">
        <v>1.5299999999999999E-2</v>
      </c>
      <c r="V30" s="251">
        <v>10</v>
      </c>
      <c r="W30" s="239" t="s">
        <v>56</v>
      </c>
      <c r="X30" s="256">
        <v>5.39</v>
      </c>
      <c r="Y30" s="253">
        <v>1.3899999999999999E-2</v>
      </c>
      <c r="Z30" s="251">
        <v>10</v>
      </c>
      <c r="AA30" s="239" t="s">
        <v>20</v>
      </c>
      <c r="AB30" s="252">
        <v>7.76</v>
      </c>
      <c r="AC30" s="253">
        <v>1.41E-2</v>
      </c>
      <c r="AD30" s="251">
        <v>10</v>
      </c>
      <c r="AE30" s="239" t="s">
        <v>785</v>
      </c>
      <c r="AF30" s="252">
        <v>15.08</v>
      </c>
      <c r="AG30" s="253">
        <v>1.9599999999999999E-2</v>
      </c>
    </row>
    <row r="31" spans="1:33" s="123" customFormat="1" ht="10.95" customHeight="1" x14ac:dyDescent="0.25">
      <c r="A31" s="185"/>
      <c r="B31" s="333" t="s">
        <v>829</v>
      </c>
      <c r="C31" s="334"/>
      <c r="D31" s="252">
        <v>9.7999999999999972</v>
      </c>
      <c r="E31" s="253">
        <v>0.17223198594024569</v>
      </c>
      <c r="F31" s="333" t="s">
        <v>829</v>
      </c>
      <c r="G31" s="334"/>
      <c r="H31" s="252">
        <v>7.5</v>
      </c>
      <c r="I31" s="253">
        <v>0.12057877813504869</v>
      </c>
      <c r="J31" s="333" t="s">
        <v>829</v>
      </c>
      <c r="K31" s="334"/>
      <c r="L31" s="252">
        <v>4.8899999999999935</v>
      </c>
      <c r="M31" s="253">
        <v>8.1999999999999851E-2</v>
      </c>
      <c r="N31" s="333" t="s">
        <v>845</v>
      </c>
      <c r="O31" s="334"/>
      <c r="P31" s="256">
        <v>11.960000000000036</v>
      </c>
      <c r="Q31" s="253">
        <v>7.7999999999999847E-2</v>
      </c>
      <c r="R31" s="333" t="s">
        <v>829</v>
      </c>
      <c r="S31" s="334"/>
      <c r="T31" s="256">
        <v>14.819999999999993</v>
      </c>
      <c r="U31" s="253">
        <v>5.0499999999999989E-2</v>
      </c>
      <c r="V31" s="333" t="s">
        <v>829</v>
      </c>
      <c r="W31" s="334"/>
      <c r="X31" s="256">
        <v>12.390000000000043</v>
      </c>
      <c r="Y31" s="253">
        <v>3.1900000000000039E-2</v>
      </c>
      <c r="Z31" s="333" t="s">
        <v>829</v>
      </c>
      <c r="AA31" s="334"/>
      <c r="AB31" s="252">
        <v>24.35</v>
      </c>
      <c r="AC31" s="253">
        <v>4.4400000000000002E-2</v>
      </c>
      <c r="AD31" s="333" t="s">
        <v>829</v>
      </c>
      <c r="AE31" s="334"/>
      <c r="AF31" s="252">
        <f>AF32-SUM(AF21:AF30)</f>
        <v>46.129999999999882</v>
      </c>
      <c r="AG31" s="253">
        <f>AF31/AF32</f>
        <v>5.993244121086122E-2</v>
      </c>
    </row>
    <row r="32" spans="1:33" s="123" customFormat="1" ht="10.95" customHeight="1" x14ac:dyDescent="0.25">
      <c r="A32" s="185"/>
      <c r="B32" s="335" t="s">
        <v>830</v>
      </c>
      <c r="C32" s="336"/>
      <c r="D32" s="254">
        <f>SUM(D21:D31)</f>
        <v>56.9</v>
      </c>
      <c r="E32" s="255">
        <v>1</v>
      </c>
      <c r="F32" s="335" t="s">
        <v>830</v>
      </c>
      <c r="G32" s="336"/>
      <c r="H32" s="254">
        <f>SUM(H21:H31)</f>
        <v>62.2</v>
      </c>
      <c r="I32" s="255">
        <v>1</v>
      </c>
      <c r="J32" s="335" t="s">
        <v>830</v>
      </c>
      <c r="K32" s="336"/>
      <c r="L32" s="254">
        <f>SUM(L21:L31)</f>
        <v>63.3</v>
      </c>
      <c r="M32" s="255">
        <v>1</v>
      </c>
      <c r="N32" s="335" t="s">
        <v>830</v>
      </c>
      <c r="O32" s="336"/>
      <c r="P32" s="254">
        <f>SUM(P21:P31)</f>
        <v>154.5</v>
      </c>
      <c r="Q32" s="255">
        <v>1</v>
      </c>
      <c r="R32" s="335" t="s">
        <v>830</v>
      </c>
      <c r="S32" s="336"/>
      <c r="T32" s="254">
        <f>SUM(T21:T31)</f>
        <v>294.60000000000002</v>
      </c>
      <c r="U32" s="255">
        <v>1</v>
      </c>
      <c r="V32" s="335" t="s">
        <v>830</v>
      </c>
      <c r="W32" s="336"/>
      <c r="X32" s="254">
        <f>SUM(X21:X31)</f>
        <v>387.7</v>
      </c>
      <c r="Y32" s="255">
        <v>1</v>
      </c>
      <c r="Z32" s="335" t="s">
        <v>830</v>
      </c>
      <c r="AA32" s="336"/>
      <c r="AB32" s="257">
        <v>548.4</v>
      </c>
      <c r="AC32" s="255">
        <v>1</v>
      </c>
      <c r="AD32" s="335" t="s">
        <v>830</v>
      </c>
      <c r="AE32" s="336"/>
      <c r="AF32" s="254">
        <v>769.7</v>
      </c>
      <c r="AG32" s="255">
        <v>1</v>
      </c>
    </row>
    <row r="33" spans="1:11" s="123" customFormat="1" ht="10.95" customHeight="1" x14ac:dyDescent="0.25">
      <c r="A33" s="185"/>
      <c r="B33" s="185" t="s">
        <v>846</v>
      </c>
      <c r="K33" s="123" t="s">
        <v>67</v>
      </c>
    </row>
    <row r="34" spans="1:11" ht="10.95" customHeight="1" x14ac:dyDescent="0.25"/>
    <row r="35" spans="1:11" ht="10.95" customHeight="1" x14ac:dyDescent="0.25"/>
    <row r="36" spans="1:11" ht="10.95" customHeight="1" x14ac:dyDescent="0.25"/>
    <row r="37" spans="1:11" ht="10.95" customHeight="1" x14ac:dyDescent="0.25"/>
    <row r="38" spans="1:11" ht="10.95" customHeight="1" x14ac:dyDescent="0.25"/>
    <row r="39" spans="1:11" ht="10.95" customHeight="1" x14ac:dyDescent="0.25"/>
    <row r="40" spans="1:11" ht="10.95" customHeight="1" x14ac:dyDescent="0.25"/>
    <row r="41" spans="1:11" ht="10.95" customHeight="1" x14ac:dyDescent="0.25"/>
    <row r="42" spans="1:11" ht="10.95" customHeight="1" x14ac:dyDescent="0.25">
      <c r="G42" s="47"/>
    </row>
    <row r="43" spans="1:11" ht="10.95" customHeight="1" x14ac:dyDescent="0.25">
      <c r="G43" s="47"/>
    </row>
    <row r="44" spans="1:11" ht="10.95" customHeight="1" x14ac:dyDescent="0.25">
      <c r="G44" s="47"/>
    </row>
    <row r="45" spans="1:11" ht="10.95" customHeight="1" x14ac:dyDescent="0.25">
      <c r="G45" s="47"/>
    </row>
    <row r="46" spans="1:11" ht="10.95" customHeight="1" x14ac:dyDescent="0.25">
      <c r="G46" s="47"/>
    </row>
    <row r="47" spans="1:11" ht="10.95" customHeight="1" x14ac:dyDescent="0.25">
      <c r="G47" s="47"/>
    </row>
    <row r="48" spans="1:11" ht="10.95" customHeight="1" x14ac:dyDescent="0.25">
      <c r="G48" s="47"/>
    </row>
    <row r="49" spans="7:7" ht="10.95" customHeight="1" x14ac:dyDescent="0.25">
      <c r="G49" s="47"/>
    </row>
    <row r="50" spans="7:7" ht="10.95" customHeight="1" x14ac:dyDescent="0.25">
      <c r="G50" s="47"/>
    </row>
    <row r="51" spans="7:7" ht="10.95" customHeight="1" x14ac:dyDescent="0.25">
      <c r="G51" s="47"/>
    </row>
    <row r="52" spans="7:7" ht="10.95" customHeight="1" x14ac:dyDescent="0.25">
      <c r="G52" s="47"/>
    </row>
    <row r="53" spans="7:7" ht="10.95" customHeight="1" x14ac:dyDescent="0.25">
      <c r="G53" s="47"/>
    </row>
    <row r="54" spans="7:7" ht="10.95" customHeight="1" x14ac:dyDescent="0.25"/>
    <row r="55" spans="7:7" ht="10.95" customHeight="1" x14ac:dyDescent="0.25"/>
    <row r="56" spans="7:7" ht="10.95" customHeight="1" x14ac:dyDescent="0.25"/>
    <row r="57" spans="7:7" ht="10.95" customHeight="1" x14ac:dyDescent="0.25"/>
    <row r="58" spans="7:7" ht="10.95" customHeight="1" x14ac:dyDescent="0.25"/>
    <row r="59" spans="7:7" ht="10.95" customHeight="1" x14ac:dyDescent="0.25"/>
    <row r="60" spans="7:7" ht="10.95" customHeight="1" x14ac:dyDescent="0.25"/>
    <row r="61" spans="7:7" ht="10.95" customHeight="1" x14ac:dyDescent="0.25"/>
    <row r="62" spans="7:7" ht="10.95" customHeight="1" x14ac:dyDescent="0.25"/>
    <row r="63" spans="7:7" ht="10.95" customHeight="1" x14ac:dyDescent="0.25"/>
    <row r="64" spans="7:7" ht="10.95" customHeight="1" x14ac:dyDescent="0.25"/>
    <row r="65" ht="10.95" customHeight="1" x14ac:dyDescent="0.25"/>
    <row r="66" ht="10.95" customHeight="1" x14ac:dyDescent="0.25"/>
    <row r="67" ht="10.95" customHeight="1" x14ac:dyDescent="0.25"/>
    <row r="68" ht="10.95" customHeight="1" x14ac:dyDescent="0.25"/>
    <row r="69" ht="10.95" customHeight="1" x14ac:dyDescent="0.25"/>
    <row r="70" ht="10.95" customHeight="1" x14ac:dyDescent="0.25"/>
    <row r="71" ht="10.95" customHeight="1" x14ac:dyDescent="0.25"/>
    <row r="72" ht="10.95" customHeight="1" x14ac:dyDescent="0.25"/>
    <row r="73" ht="10.95" customHeight="1" x14ac:dyDescent="0.25"/>
    <row r="74" ht="10.95" customHeight="1" x14ac:dyDescent="0.25"/>
    <row r="75" ht="10.95" customHeight="1" x14ac:dyDescent="0.25"/>
    <row r="76" ht="10.95" customHeight="1" x14ac:dyDescent="0.25"/>
    <row r="77" ht="10.95" customHeight="1" x14ac:dyDescent="0.25"/>
    <row r="78" ht="10.95" customHeight="1" x14ac:dyDescent="0.25"/>
    <row r="79" ht="10.95" customHeight="1" x14ac:dyDescent="0.25"/>
    <row r="80" ht="10.95" customHeight="1" x14ac:dyDescent="0.25"/>
    <row r="81" ht="10.95" customHeight="1" x14ac:dyDescent="0.25"/>
    <row r="82" ht="10.95" customHeight="1" x14ac:dyDescent="0.25"/>
    <row r="83" ht="10.95" customHeight="1" x14ac:dyDescent="0.25"/>
    <row r="84" ht="10.95" customHeight="1" x14ac:dyDescent="0.25"/>
    <row r="85" ht="10.95" customHeight="1" x14ac:dyDescent="0.25"/>
    <row r="86" ht="10.95" customHeight="1" x14ac:dyDescent="0.25"/>
    <row r="87" ht="10.95" customHeight="1" x14ac:dyDescent="0.25"/>
    <row r="88" ht="10.95" customHeight="1" x14ac:dyDescent="0.25"/>
    <row r="89" ht="10.95" customHeight="1" x14ac:dyDescent="0.25"/>
    <row r="90" ht="10.95" customHeight="1" x14ac:dyDescent="0.25"/>
    <row r="91" ht="10.95" customHeight="1" x14ac:dyDescent="0.25"/>
    <row r="92" ht="10.95" customHeight="1" x14ac:dyDescent="0.25"/>
    <row r="93" ht="10.95" customHeight="1" x14ac:dyDescent="0.25"/>
    <row r="94" ht="10.95" customHeight="1" x14ac:dyDescent="0.25"/>
    <row r="95" ht="10.95" customHeight="1" x14ac:dyDescent="0.25"/>
    <row r="96" ht="10.95" customHeight="1" x14ac:dyDescent="0.25"/>
    <row r="97" ht="10.95" customHeight="1" x14ac:dyDescent="0.25"/>
    <row r="98" ht="10.95" customHeight="1" x14ac:dyDescent="0.25"/>
    <row r="99" ht="10.95" customHeight="1" x14ac:dyDescent="0.25"/>
    <row r="100" ht="10.95" customHeight="1" x14ac:dyDescent="0.25"/>
    <row r="101" ht="10.95" customHeight="1" x14ac:dyDescent="0.25"/>
    <row r="102" ht="10.95" customHeight="1" x14ac:dyDescent="0.25"/>
    <row r="103" ht="10.95" customHeight="1" x14ac:dyDescent="0.25"/>
    <row r="104" ht="10.95" customHeight="1" x14ac:dyDescent="0.25"/>
    <row r="105" ht="10.95" customHeight="1" x14ac:dyDescent="0.25"/>
    <row r="106" ht="10.95" customHeight="1" x14ac:dyDescent="0.25"/>
    <row r="107" ht="10.95" customHeight="1" x14ac:dyDescent="0.25"/>
    <row r="108" ht="10.95" customHeight="1" x14ac:dyDescent="0.25"/>
    <row r="109" ht="10.95" customHeight="1" x14ac:dyDescent="0.25"/>
    <row r="110" ht="10.95" customHeight="1" x14ac:dyDescent="0.25"/>
    <row r="111" ht="10.95" customHeight="1" x14ac:dyDescent="0.25"/>
    <row r="112" ht="10.95" customHeight="1" x14ac:dyDescent="0.25"/>
    <row r="113" ht="10.95" customHeight="1" x14ac:dyDescent="0.25"/>
    <row r="114" ht="10.95" customHeight="1" x14ac:dyDescent="0.25"/>
    <row r="115" ht="10.95" customHeight="1" x14ac:dyDescent="0.25"/>
    <row r="116" ht="10.95" customHeight="1" x14ac:dyDescent="0.25"/>
    <row r="117" ht="10.95" customHeight="1" x14ac:dyDescent="0.25"/>
    <row r="118" ht="10.95" customHeight="1" x14ac:dyDescent="0.25"/>
    <row r="119" ht="10.95" customHeight="1" x14ac:dyDescent="0.25"/>
    <row r="120" ht="10.95" customHeight="1" x14ac:dyDescent="0.25"/>
    <row r="121" ht="10.95" customHeight="1" x14ac:dyDescent="0.25"/>
  </sheetData>
  <mergeCells count="50">
    <mergeCell ref="AD2:AG2"/>
    <mergeCell ref="AD14:AE14"/>
    <mergeCell ref="AD15:AE15"/>
    <mergeCell ref="Z2:AC2"/>
    <mergeCell ref="B2:E2"/>
    <mergeCell ref="F2:I2"/>
    <mergeCell ref="J2:M2"/>
    <mergeCell ref="N2:Q2"/>
    <mergeCell ref="R2:U2"/>
    <mergeCell ref="V2:Y2"/>
    <mergeCell ref="B14:C14"/>
    <mergeCell ref="B15:C15"/>
    <mergeCell ref="F14:G14"/>
    <mergeCell ref="F15:G15"/>
    <mergeCell ref="J14:K14"/>
    <mergeCell ref="J15:K15"/>
    <mergeCell ref="B19:E19"/>
    <mergeCell ref="F19:I19"/>
    <mergeCell ref="J19:M19"/>
    <mergeCell ref="N19:Q19"/>
    <mergeCell ref="R19:U19"/>
    <mergeCell ref="N31:O31"/>
    <mergeCell ref="R31:S31"/>
    <mergeCell ref="V31:W31"/>
    <mergeCell ref="Z14:AA14"/>
    <mergeCell ref="Z15:AA15"/>
    <mergeCell ref="V19:Y19"/>
    <mergeCell ref="Z19:AC19"/>
    <mergeCell ref="N14:O14"/>
    <mergeCell ref="N15:O15"/>
    <mergeCell ref="R14:S14"/>
    <mergeCell ref="R15:S15"/>
    <mergeCell ref="V14:W14"/>
    <mergeCell ref="V15:W15"/>
    <mergeCell ref="B18:E18"/>
    <mergeCell ref="B1:E1"/>
    <mergeCell ref="AD19:AG19"/>
    <mergeCell ref="AD31:AE31"/>
    <mergeCell ref="AD32:AE32"/>
    <mergeCell ref="Z31:AA31"/>
    <mergeCell ref="B32:C32"/>
    <mergeCell ref="F32:G32"/>
    <mergeCell ref="J32:K32"/>
    <mergeCell ref="N32:O32"/>
    <mergeCell ref="R32:S32"/>
    <mergeCell ref="V32:W32"/>
    <mergeCell ref="Z32:AA32"/>
    <mergeCell ref="B31:C31"/>
    <mergeCell ref="F31:G31"/>
    <mergeCell ref="J31:K31"/>
  </mergeCells>
  <phoneticPr fontId="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3"/>
  <sheetViews>
    <sheetView topLeftCell="A46" workbookViewId="0">
      <selection activeCell="F9" sqref="F9"/>
    </sheetView>
  </sheetViews>
  <sheetFormatPr defaultColWidth="9" defaultRowHeight="14" customHeight="1" x14ac:dyDescent="0.25"/>
  <cols>
    <col min="1" max="1" width="5.69921875" style="6" customWidth="1"/>
    <col min="2" max="2" width="17.296875" style="6" bestFit="1" customWidth="1"/>
    <col min="3" max="15" width="8.69921875" style="6" customWidth="1"/>
    <col min="16" max="16384" width="9" style="6"/>
  </cols>
  <sheetData>
    <row r="2" spans="1:17" ht="14" customHeight="1" x14ac:dyDescent="0.25">
      <c r="B2" s="260" t="s">
        <v>860</v>
      </c>
      <c r="C2" s="129" t="s">
        <v>655</v>
      </c>
      <c r="D2" s="129" t="s">
        <v>656</v>
      </c>
      <c r="E2" s="129" t="s">
        <v>657</v>
      </c>
      <c r="F2" s="129" t="s">
        <v>658</v>
      </c>
      <c r="G2" s="129" t="s">
        <v>659</v>
      </c>
      <c r="H2" s="129" t="s">
        <v>660</v>
      </c>
      <c r="I2" s="129" t="s">
        <v>661</v>
      </c>
      <c r="J2" s="129" t="s">
        <v>662</v>
      </c>
      <c r="K2" s="129" t="s">
        <v>663</v>
      </c>
      <c r="L2" s="129" t="s">
        <v>664</v>
      </c>
      <c r="M2" s="129" t="s">
        <v>665</v>
      </c>
      <c r="N2" s="129" t="s">
        <v>666</v>
      </c>
      <c r="O2" s="129" t="s">
        <v>667</v>
      </c>
    </row>
    <row r="3" spans="1:17" ht="14" customHeight="1" x14ac:dyDescent="0.25">
      <c r="B3" s="15">
        <v>2022</v>
      </c>
      <c r="C3" s="15">
        <v>27.6</v>
      </c>
      <c r="D3" s="15">
        <v>25.9</v>
      </c>
      <c r="E3" s="15">
        <v>41.4</v>
      </c>
      <c r="F3" s="15">
        <v>27.1</v>
      </c>
      <c r="G3" s="22">
        <v>33.700000000000003</v>
      </c>
      <c r="H3" s="15">
        <v>45.2</v>
      </c>
      <c r="I3" s="15">
        <v>39.700000000000003</v>
      </c>
      <c r="J3" s="130">
        <v>45.7</v>
      </c>
      <c r="K3" s="130">
        <v>54.7</v>
      </c>
      <c r="L3" s="131">
        <v>48</v>
      </c>
      <c r="M3" s="130">
        <v>57.2</v>
      </c>
      <c r="N3" s="130">
        <v>71.7</v>
      </c>
      <c r="O3" s="125">
        <v>515</v>
      </c>
    </row>
    <row r="4" spans="1:17" ht="14" customHeight="1" x14ac:dyDescent="0.25">
      <c r="B4" s="15">
        <v>2023</v>
      </c>
      <c r="C4" s="23">
        <v>33</v>
      </c>
      <c r="D4" s="15">
        <v>42.2</v>
      </c>
      <c r="E4" s="15">
        <v>57.8</v>
      </c>
      <c r="F4" s="15">
        <v>49.5</v>
      </c>
      <c r="G4" s="22">
        <v>55.1</v>
      </c>
      <c r="H4" s="15">
        <v>66.7</v>
      </c>
      <c r="I4" s="15">
        <v>58.6</v>
      </c>
      <c r="J4" s="130">
        <v>66.099999999999994</v>
      </c>
      <c r="K4" s="130">
        <v>56.9</v>
      </c>
      <c r="L4" s="131">
        <v>66.3</v>
      </c>
      <c r="M4" s="130">
        <v>62.4</v>
      </c>
      <c r="N4" s="130">
        <v>81.100000000000023</v>
      </c>
      <c r="O4" s="125">
        <v>710</v>
      </c>
    </row>
    <row r="5" spans="1:17" ht="14" customHeight="1" x14ac:dyDescent="0.25">
      <c r="B5" s="15">
        <v>2024</v>
      </c>
      <c r="C5" s="15">
        <v>51.5</v>
      </c>
      <c r="D5" s="15">
        <v>40.9</v>
      </c>
      <c r="E5" s="15">
        <v>66.400000000000006</v>
      </c>
      <c r="F5" s="15">
        <v>58.5</v>
      </c>
      <c r="G5" s="15">
        <v>69.2</v>
      </c>
      <c r="H5" s="15">
        <v>79.2</v>
      </c>
      <c r="I5" s="15">
        <v>69.8</v>
      </c>
      <c r="J5" s="15">
        <v>75.7</v>
      </c>
      <c r="K5" s="15">
        <v>87.8</v>
      </c>
      <c r="L5" s="15">
        <v>87.7</v>
      </c>
      <c r="M5" s="15">
        <v>98.9</v>
      </c>
      <c r="N5" s="15">
        <v>108.8</v>
      </c>
      <c r="O5" s="117">
        <v>901</v>
      </c>
    </row>
    <row r="6" spans="1:17" ht="14" customHeight="1" x14ac:dyDescent="0.25">
      <c r="B6" s="15">
        <v>2025</v>
      </c>
      <c r="C6" s="15">
        <v>64.900000000000006</v>
      </c>
      <c r="D6" s="15">
        <v>65.599999999999994</v>
      </c>
      <c r="E6" s="15">
        <v>91.9</v>
      </c>
      <c r="F6" s="15">
        <v>86.7</v>
      </c>
      <c r="G6" s="15">
        <v>92.8</v>
      </c>
      <c r="H6" s="15">
        <v>103.1</v>
      </c>
      <c r="I6" s="15">
        <v>86.3</v>
      </c>
      <c r="J6" s="15">
        <f>691.3-I6-H6-G6-F6-E6-D6-C6</f>
        <v>99.999999999999972</v>
      </c>
      <c r="K6" s="15">
        <f>811.7-J6-I6-H6-G6-F6-E6-D6-C6</f>
        <v>120.40000000000006</v>
      </c>
      <c r="L6" s="15">
        <f>933.5-SUM(C6:K6)</f>
        <v>121.79999999999995</v>
      </c>
      <c r="M6" s="15">
        <f>1046-SUM(C6:L6)</f>
        <v>112.5</v>
      </c>
      <c r="N6" s="23">
        <f>1187-SUM(C6:M6)</f>
        <v>141</v>
      </c>
      <c r="O6" s="117">
        <v>1187</v>
      </c>
    </row>
    <row r="7" spans="1:17" ht="14" customHeight="1" x14ac:dyDescent="0.25">
      <c r="B7" s="133" t="s">
        <v>425</v>
      </c>
      <c r="C7" s="134">
        <f t="shared" ref="C7:M7" si="0">C6/C5-1</f>
        <v>0.26019417475728157</v>
      </c>
      <c r="D7" s="134">
        <f t="shared" si="0"/>
        <v>0.60391198044009764</v>
      </c>
      <c r="E7" s="134">
        <f t="shared" si="0"/>
        <v>0.38403614457831314</v>
      </c>
      <c r="F7" s="134">
        <f t="shared" si="0"/>
        <v>0.48205128205128212</v>
      </c>
      <c r="G7" s="134">
        <f t="shared" si="0"/>
        <v>0.34104046242774566</v>
      </c>
      <c r="H7" s="134">
        <f t="shared" si="0"/>
        <v>0.30176767676767668</v>
      </c>
      <c r="I7" s="134">
        <f t="shared" si="0"/>
        <v>0.23638968481375366</v>
      </c>
      <c r="J7" s="134">
        <f t="shared" si="0"/>
        <v>0.3210039630118886</v>
      </c>
      <c r="K7" s="134">
        <f t="shared" si="0"/>
        <v>0.37129840546697124</v>
      </c>
      <c r="L7" s="134">
        <f t="shared" si="0"/>
        <v>0.38882554161915572</v>
      </c>
      <c r="M7" s="134">
        <f t="shared" si="0"/>
        <v>0.13751263902932243</v>
      </c>
      <c r="N7" s="134">
        <f t="shared" ref="N7:O7" si="1">N6/N5-1</f>
        <v>0.29595588235294112</v>
      </c>
      <c r="O7" s="139">
        <f t="shared" si="1"/>
        <v>0.3174250832408434</v>
      </c>
    </row>
    <row r="8" spans="1:17" ht="14" customHeight="1" x14ac:dyDescent="0.25">
      <c r="B8" s="133" t="s">
        <v>668</v>
      </c>
      <c r="C8" s="134">
        <f>C6/N5-1</f>
        <v>-0.40349264705882348</v>
      </c>
      <c r="D8" s="134">
        <f t="shared" ref="D8:N8" si="2">D6/C6-1</f>
        <v>1.0785824345146189E-2</v>
      </c>
      <c r="E8" s="134">
        <f t="shared" si="2"/>
        <v>0.40091463414634165</v>
      </c>
      <c r="F8" s="134">
        <f t="shared" si="2"/>
        <v>-5.6583242655059873E-2</v>
      </c>
      <c r="G8" s="134">
        <f t="shared" si="2"/>
        <v>7.0357554786620424E-2</v>
      </c>
      <c r="H8" s="134">
        <f t="shared" si="2"/>
        <v>0.11099137931034475</v>
      </c>
      <c r="I8" s="134">
        <f t="shared" si="2"/>
        <v>-0.16294859359844804</v>
      </c>
      <c r="J8" s="134">
        <f t="shared" si="2"/>
        <v>0.15874855156431034</v>
      </c>
      <c r="K8" s="134">
        <f t="shared" si="2"/>
        <v>0.20400000000000107</v>
      </c>
      <c r="L8" s="134">
        <f t="shared" si="2"/>
        <v>1.1627906976743319E-2</v>
      </c>
      <c r="M8" s="134">
        <f t="shared" si="2"/>
        <v>-7.6354679802955294E-2</v>
      </c>
      <c r="N8" s="134">
        <f t="shared" si="2"/>
        <v>0.25333333333333341</v>
      </c>
      <c r="O8" s="132"/>
    </row>
    <row r="9" spans="1:17" ht="14" customHeight="1" x14ac:dyDescent="0.25">
      <c r="B9" s="15">
        <v>2026</v>
      </c>
      <c r="C9" s="23">
        <v>71.900000000000006</v>
      </c>
      <c r="D9" s="23">
        <f>134.9-C9</f>
        <v>63</v>
      </c>
      <c r="E9" s="23">
        <f>244.6-D9-C9</f>
        <v>109.69999999999999</v>
      </c>
      <c r="F9" s="23">
        <f>352.7-SUM(C9:E9)</f>
        <v>108.1</v>
      </c>
      <c r="G9" s="263"/>
      <c r="H9" s="263"/>
      <c r="I9" s="263"/>
      <c r="J9" s="263"/>
      <c r="K9" s="263"/>
      <c r="L9" s="263"/>
      <c r="M9" s="263"/>
      <c r="N9" s="263"/>
      <c r="O9" s="264"/>
    </row>
    <row r="10" spans="1:17" ht="14" customHeight="1" x14ac:dyDescent="0.25">
      <c r="B10" s="133" t="s">
        <v>425</v>
      </c>
      <c r="C10" s="134">
        <f>C9/C6-1</f>
        <v>0.10785824345146389</v>
      </c>
      <c r="D10" s="134">
        <f>D9/D6-1</f>
        <v>-3.9634146341463339E-2</v>
      </c>
      <c r="E10" s="134">
        <f>E9/E6-1</f>
        <v>0.19368879216539692</v>
      </c>
      <c r="F10" s="134">
        <f>F9/F6-1</f>
        <v>0.24682814302191458</v>
      </c>
      <c r="G10" s="134"/>
      <c r="H10" s="134"/>
      <c r="I10" s="134"/>
      <c r="J10" s="134"/>
      <c r="K10" s="134"/>
      <c r="L10" s="134"/>
      <c r="M10" s="134"/>
      <c r="N10" s="134"/>
      <c r="O10" s="135"/>
    </row>
    <row r="11" spans="1:17" ht="14" customHeight="1" x14ac:dyDescent="0.25">
      <c r="B11" s="133" t="s">
        <v>668</v>
      </c>
      <c r="C11" s="134">
        <f>C9/N6-1</f>
        <v>-0.49007092198581559</v>
      </c>
      <c r="D11" s="134">
        <f>D9/C9-1</f>
        <v>-0.12378303198887353</v>
      </c>
      <c r="E11" s="134">
        <f>E9/D9-1</f>
        <v>0.74126984126984108</v>
      </c>
      <c r="F11" s="134">
        <f>F9/E9-1</f>
        <v>-1.4585232452142161E-2</v>
      </c>
      <c r="G11" s="134"/>
      <c r="H11" s="134"/>
      <c r="I11" s="134"/>
      <c r="J11" s="134"/>
      <c r="K11" s="134"/>
      <c r="L11" s="134"/>
      <c r="M11" s="134"/>
      <c r="N11" s="134"/>
      <c r="O11" s="137"/>
    </row>
    <row r="12" spans="1:17" ht="14" customHeight="1" x14ac:dyDescent="0.25">
      <c r="A12" s="6" t="s">
        <v>14</v>
      </c>
      <c r="B12" s="123" t="s">
        <v>653</v>
      </c>
    </row>
    <row r="14" spans="1:17" ht="14" customHeight="1" x14ac:dyDescent="0.25">
      <c r="B14" s="260" t="s">
        <v>861</v>
      </c>
      <c r="C14" s="129" t="s">
        <v>655</v>
      </c>
      <c r="D14" s="129" t="s">
        <v>656</v>
      </c>
      <c r="E14" s="129" t="s">
        <v>657</v>
      </c>
      <c r="F14" s="129" t="s">
        <v>658</v>
      </c>
      <c r="G14" s="129" t="s">
        <v>659</v>
      </c>
      <c r="H14" s="129" t="s">
        <v>660</v>
      </c>
      <c r="I14" s="129" t="s">
        <v>661</v>
      </c>
      <c r="J14" s="129" t="s">
        <v>662</v>
      </c>
      <c r="K14" s="129" t="s">
        <v>663</v>
      </c>
      <c r="L14" s="129" t="s">
        <v>664</v>
      </c>
      <c r="M14" s="129" t="s">
        <v>665</v>
      </c>
      <c r="N14" s="129" t="s">
        <v>666</v>
      </c>
      <c r="O14" s="129" t="s">
        <v>667</v>
      </c>
      <c r="Q14" s="126"/>
    </row>
    <row r="15" spans="1:17" ht="14" customHeight="1" x14ac:dyDescent="0.25">
      <c r="B15" s="15">
        <v>2020</v>
      </c>
      <c r="C15" s="23">
        <v>2.3167</v>
      </c>
      <c r="D15" s="23">
        <v>0.59810000000000008</v>
      </c>
      <c r="E15" s="23">
        <v>2.7700999999999998</v>
      </c>
      <c r="F15" s="23">
        <v>3.5873000000000004</v>
      </c>
      <c r="G15" s="23">
        <v>3.5061999999999998</v>
      </c>
      <c r="H15" s="23">
        <v>4.6993</v>
      </c>
      <c r="I15" s="23">
        <v>5.0191000000000008</v>
      </c>
      <c r="J15" s="23">
        <v>5.1286000000000005</v>
      </c>
      <c r="K15" s="23">
        <v>6.5788000000000002</v>
      </c>
      <c r="L15" s="23">
        <v>5.8673999999999999</v>
      </c>
      <c r="M15" s="23">
        <v>10.614100000000001</v>
      </c>
      <c r="N15" s="23">
        <v>12.952399999999999</v>
      </c>
      <c r="O15" s="127">
        <f>SUM(C15:N15)</f>
        <v>63.638100000000001</v>
      </c>
    </row>
    <row r="16" spans="1:17" ht="14" customHeight="1" x14ac:dyDescent="0.25">
      <c r="B16" s="15">
        <v>2021</v>
      </c>
      <c r="C16" s="23">
        <v>8.6612000000000009</v>
      </c>
      <c r="D16" s="23">
        <v>5.5789999999999997</v>
      </c>
      <c r="E16" s="23">
        <v>8.9964999999999993</v>
      </c>
      <c r="F16" s="23">
        <v>8.3947000000000003</v>
      </c>
      <c r="G16" s="23">
        <v>9.7550000000000008</v>
      </c>
      <c r="H16" s="23">
        <v>11.0999</v>
      </c>
      <c r="I16" s="23">
        <v>11.292299999999999</v>
      </c>
      <c r="J16" s="23">
        <v>12.56</v>
      </c>
      <c r="K16" s="23">
        <v>15.694700000000001</v>
      </c>
      <c r="L16" s="23">
        <v>15.418899999999999</v>
      </c>
      <c r="M16" s="23">
        <v>20.824999999999999</v>
      </c>
      <c r="N16" s="23">
        <v>26.218499999999999</v>
      </c>
      <c r="O16" s="127">
        <f t="shared" ref="O16" si="3">SUM(C16:N16)</f>
        <v>154.4957</v>
      </c>
    </row>
    <row r="17" spans="2:17" ht="14" customHeight="1" x14ac:dyDescent="0.25">
      <c r="B17" s="15">
        <v>2022</v>
      </c>
      <c r="C17" s="23">
        <v>16.184000000000001</v>
      </c>
      <c r="D17" s="23">
        <v>13.676</v>
      </c>
      <c r="E17" s="23">
        <v>21.415299999999998</v>
      </c>
      <c r="F17" s="23">
        <v>13.2691</v>
      </c>
      <c r="G17" s="23">
        <v>18.5641</v>
      </c>
      <c r="H17" s="23">
        <v>27.011200000000002</v>
      </c>
      <c r="I17" s="23">
        <v>24.187200000000001</v>
      </c>
      <c r="J17" s="23">
        <v>27.752200000000002</v>
      </c>
      <c r="K17" s="23">
        <v>31.6342</v>
      </c>
      <c r="L17" s="23">
        <v>30.5425</v>
      </c>
      <c r="M17" s="23">
        <v>34.262300000000003</v>
      </c>
      <c r="N17" s="23">
        <v>36.1494</v>
      </c>
      <c r="O17" s="127">
        <f>SUM(C17:N17)</f>
        <v>294.64749999999998</v>
      </c>
    </row>
    <row r="18" spans="2:17" ht="14" customHeight="1" x14ac:dyDescent="0.25">
      <c r="B18" s="15">
        <v>2023</v>
      </c>
      <c r="C18" s="23">
        <v>16.133299999999998</v>
      </c>
      <c r="D18" s="23">
        <v>21.935200000000002</v>
      </c>
      <c r="E18" s="23">
        <v>27.782700000000002</v>
      </c>
      <c r="F18" s="23">
        <v>25.138200000000001</v>
      </c>
      <c r="G18" s="23">
        <v>28.2423</v>
      </c>
      <c r="H18" s="23">
        <v>32.896599999999999</v>
      </c>
      <c r="I18" s="23">
        <v>32.238</v>
      </c>
      <c r="J18" s="23">
        <v>34.880400000000002</v>
      </c>
      <c r="K18" s="23">
        <v>36.4</v>
      </c>
      <c r="L18" s="23">
        <v>39.200000000000003</v>
      </c>
      <c r="M18" s="23">
        <v>44.9</v>
      </c>
      <c r="N18" s="23">
        <v>47.9</v>
      </c>
      <c r="O18" s="127">
        <f>SUM(C18:N18)</f>
        <v>387.64669999999995</v>
      </c>
    </row>
    <row r="19" spans="2:17" ht="14" customHeight="1" x14ac:dyDescent="0.25">
      <c r="B19" s="15">
        <v>2024</v>
      </c>
      <c r="C19" s="23">
        <v>32.299999999999997</v>
      </c>
      <c r="D19" s="23">
        <v>18</v>
      </c>
      <c r="E19" s="23">
        <v>35</v>
      </c>
      <c r="F19" s="23">
        <v>35.4</v>
      </c>
      <c r="G19" s="23">
        <v>39.9</v>
      </c>
      <c r="H19" s="23">
        <v>42.8</v>
      </c>
      <c r="I19" s="23">
        <v>41.6</v>
      </c>
      <c r="J19" s="23">
        <v>47.2</v>
      </c>
      <c r="K19" s="23">
        <v>54.5</v>
      </c>
      <c r="L19" s="23">
        <v>59.2</v>
      </c>
      <c r="M19" s="23">
        <v>67.2</v>
      </c>
      <c r="N19" s="23">
        <v>75.400000000000006</v>
      </c>
      <c r="O19" s="127">
        <f>SUM(C19:N19)</f>
        <v>548.5</v>
      </c>
    </row>
    <row r="20" spans="2:17" ht="14" customHeight="1" x14ac:dyDescent="0.25">
      <c r="B20" s="15">
        <v>2025</v>
      </c>
      <c r="C20" s="23">
        <v>38.799999999999997</v>
      </c>
      <c r="D20" s="23">
        <v>34.9</v>
      </c>
      <c r="E20" s="23">
        <v>56.6</v>
      </c>
      <c r="F20" s="23">
        <v>54.1</v>
      </c>
      <c r="G20" s="23">
        <v>57.1</v>
      </c>
      <c r="H20" s="23">
        <v>58.2</v>
      </c>
      <c r="I20" s="23">
        <v>55.9</v>
      </c>
      <c r="J20" s="23">
        <v>62.5</v>
      </c>
      <c r="K20" s="23">
        <v>76</v>
      </c>
      <c r="L20" s="23">
        <v>84.1</v>
      </c>
      <c r="M20" s="23">
        <v>93.5</v>
      </c>
      <c r="N20" s="23">
        <v>98.1</v>
      </c>
      <c r="O20" s="127">
        <f>SUM(C20:N20)</f>
        <v>769.8</v>
      </c>
    </row>
    <row r="21" spans="2:17" ht="14" customHeight="1" x14ac:dyDescent="0.25">
      <c r="B21" s="133" t="s">
        <v>425</v>
      </c>
      <c r="C21" s="134">
        <f t="shared" ref="C21:O21" si="4">C20/C19-1</f>
        <v>0.20123839009287936</v>
      </c>
      <c r="D21" s="134">
        <f t="shared" si="4"/>
        <v>0.93888888888888888</v>
      </c>
      <c r="E21" s="134">
        <f t="shared" si="4"/>
        <v>0.61714285714285722</v>
      </c>
      <c r="F21" s="134">
        <f t="shared" si="4"/>
        <v>0.52824858757062154</v>
      </c>
      <c r="G21" s="134">
        <f t="shared" si="4"/>
        <v>0.43107769423558895</v>
      </c>
      <c r="H21" s="134">
        <f t="shared" si="4"/>
        <v>0.35981308411214963</v>
      </c>
      <c r="I21" s="134">
        <f t="shared" si="4"/>
        <v>0.34375</v>
      </c>
      <c r="J21" s="134">
        <f t="shared" si="4"/>
        <v>0.32415254237288127</v>
      </c>
      <c r="K21" s="134">
        <f t="shared" si="4"/>
        <v>0.39449541284403677</v>
      </c>
      <c r="L21" s="134">
        <f t="shared" si="4"/>
        <v>0.42060810810810789</v>
      </c>
      <c r="M21" s="134">
        <f t="shared" si="4"/>
        <v>0.39136904761904745</v>
      </c>
      <c r="N21" s="134">
        <f t="shared" si="4"/>
        <v>0.30106100795755952</v>
      </c>
      <c r="O21" s="135">
        <f t="shared" si="4"/>
        <v>0.40346399270738376</v>
      </c>
    </row>
    <row r="22" spans="2:17" ht="14" customHeight="1" x14ac:dyDescent="0.25">
      <c r="B22" s="133" t="s">
        <v>668</v>
      </c>
      <c r="C22" s="134">
        <f>C20/N19-1</f>
        <v>-0.4854111405835545</v>
      </c>
      <c r="D22" s="134">
        <f t="shared" ref="D22:N22" si="5">D20/C20-1</f>
        <v>-0.10051546391752575</v>
      </c>
      <c r="E22" s="134">
        <f t="shared" si="5"/>
        <v>0.62177650429799436</v>
      </c>
      <c r="F22" s="134">
        <f t="shared" si="5"/>
        <v>-4.4169611307420475E-2</v>
      </c>
      <c r="G22" s="134">
        <f t="shared" si="5"/>
        <v>5.5452865064695045E-2</v>
      </c>
      <c r="H22" s="134">
        <f t="shared" si="5"/>
        <v>1.9264448336252293E-2</v>
      </c>
      <c r="I22" s="134">
        <f t="shared" si="5"/>
        <v>-3.9518900343642693E-2</v>
      </c>
      <c r="J22" s="134">
        <f t="shared" si="5"/>
        <v>0.11806797853309492</v>
      </c>
      <c r="K22" s="134">
        <f t="shared" si="5"/>
        <v>0.21599999999999997</v>
      </c>
      <c r="L22" s="134">
        <f t="shared" si="5"/>
        <v>0.10657894736842088</v>
      </c>
      <c r="M22" s="134">
        <f t="shared" si="5"/>
        <v>0.11177170035671824</v>
      </c>
      <c r="N22" s="134">
        <f t="shared" si="5"/>
        <v>4.9197860962566731E-2</v>
      </c>
      <c r="O22" s="137"/>
    </row>
    <row r="23" spans="2:17" ht="14" customHeight="1" x14ac:dyDescent="0.25">
      <c r="B23" s="15">
        <v>2026</v>
      </c>
      <c r="C23" s="23">
        <v>42</v>
      </c>
      <c r="D23" s="23">
        <v>26.3</v>
      </c>
      <c r="E23" s="23">
        <v>56.5</v>
      </c>
      <c r="F23" s="23">
        <v>62.4</v>
      </c>
      <c r="G23" s="23">
        <v>71.900000000000006</v>
      </c>
      <c r="H23" s="263"/>
      <c r="I23" s="263"/>
      <c r="J23" s="263"/>
      <c r="K23" s="263"/>
      <c r="L23" s="263"/>
      <c r="M23" s="263"/>
      <c r="N23" s="263"/>
      <c r="O23" s="264"/>
    </row>
    <row r="24" spans="2:17" ht="14" customHeight="1" x14ac:dyDescent="0.25">
      <c r="B24" s="133" t="s">
        <v>425</v>
      </c>
      <c r="C24" s="134">
        <f>C23/C20-1</f>
        <v>8.2474226804123862E-2</v>
      </c>
      <c r="D24" s="134">
        <f>D23/D20-1</f>
        <v>-0.24641833810888247</v>
      </c>
      <c r="E24" s="134">
        <f>E23/E20-1</f>
        <v>-1.7667844522968323E-3</v>
      </c>
      <c r="F24" s="134">
        <f>F23/F20-1</f>
        <v>0.15341959334565614</v>
      </c>
      <c r="G24" s="134">
        <f>G23/G20-1</f>
        <v>0.25919439579684767</v>
      </c>
      <c r="H24" s="134"/>
      <c r="I24" s="134"/>
      <c r="J24" s="134"/>
      <c r="K24" s="134"/>
      <c r="L24" s="134"/>
      <c r="M24" s="134"/>
      <c r="N24" s="134"/>
      <c r="O24" s="135"/>
    </row>
    <row r="25" spans="2:17" ht="14" customHeight="1" x14ac:dyDescent="0.25">
      <c r="B25" s="133" t="s">
        <v>668</v>
      </c>
      <c r="C25" s="134">
        <f>C23/N20-1</f>
        <v>-0.5718654434250765</v>
      </c>
      <c r="D25" s="134">
        <f>D23/C23-1</f>
        <v>-0.37380952380952381</v>
      </c>
      <c r="E25" s="134">
        <f>E23/D23-1</f>
        <v>1.1482889733840302</v>
      </c>
      <c r="F25" s="134">
        <f>F23/E23-1</f>
        <v>0.10442477876106193</v>
      </c>
      <c r="G25" s="134">
        <f>G23/F23-1</f>
        <v>0.15224358974358987</v>
      </c>
      <c r="H25" s="134"/>
      <c r="I25" s="134"/>
      <c r="J25" s="134"/>
      <c r="K25" s="134"/>
      <c r="L25" s="134"/>
      <c r="M25" s="134"/>
      <c r="N25" s="134"/>
      <c r="O25" s="137"/>
    </row>
    <row r="27" spans="2:17" ht="14" customHeight="1" x14ac:dyDescent="0.25">
      <c r="B27" s="260" t="s">
        <v>862</v>
      </c>
      <c r="C27" s="129" t="s">
        <v>655</v>
      </c>
      <c r="D27" s="129" t="s">
        <v>656</v>
      </c>
      <c r="E27" s="129" t="s">
        <v>657</v>
      </c>
      <c r="F27" s="129" t="s">
        <v>658</v>
      </c>
      <c r="G27" s="129" t="s">
        <v>659</v>
      </c>
      <c r="H27" s="129" t="s">
        <v>660</v>
      </c>
      <c r="I27" s="129" t="s">
        <v>661</v>
      </c>
      <c r="J27" s="129" t="s">
        <v>662</v>
      </c>
      <c r="K27" s="129" t="s">
        <v>663</v>
      </c>
      <c r="L27" s="129" t="s">
        <v>664</v>
      </c>
      <c r="M27" s="129" t="s">
        <v>665</v>
      </c>
      <c r="N27" s="129" t="s">
        <v>666</v>
      </c>
      <c r="O27" s="129" t="s">
        <v>667</v>
      </c>
    </row>
    <row r="28" spans="2:17" ht="14" customHeight="1" x14ac:dyDescent="0.25">
      <c r="B28" s="15">
        <v>2020</v>
      </c>
      <c r="C28" s="23">
        <v>1.5791999999999999</v>
      </c>
      <c r="D28" s="23">
        <v>0.5212</v>
      </c>
      <c r="E28" s="23">
        <v>2.2244999999999999</v>
      </c>
      <c r="F28" s="23">
        <v>2.6203000000000003</v>
      </c>
      <c r="G28" s="23">
        <v>2.6734</v>
      </c>
      <c r="H28" s="23">
        <v>2.9965999999999999</v>
      </c>
      <c r="I28" s="23">
        <v>3.2570000000000001</v>
      </c>
      <c r="J28" s="23">
        <v>3.5151999999999997</v>
      </c>
      <c r="K28" s="23">
        <v>4.2169999999999996</v>
      </c>
      <c r="L28" s="23">
        <v>3.4116</v>
      </c>
      <c r="M28" s="23">
        <v>5.8556000000000008</v>
      </c>
      <c r="N28" s="23">
        <v>5.9866999999999999</v>
      </c>
      <c r="O28" s="128">
        <f t="shared" ref="O28:O29" si="6">SUM(C28:N28)</f>
        <v>38.8583</v>
      </c>
    </row>
    <row r="29" spans="2:17" ht="14" customHeight="1" x14ac:dyDescent="0.25">
      <c r="B29" s="15">
        <v>2021</v>
      </c>
      <c r="C29" s="23">
        <v>5.3986000000000001</v>
      </c>
      <c r="D29" s="23">
        <v>3.3281000000000001</v>
      </c>
      <c r="E29" s="23">
        <v>5.0943999999999994</v>
      </c>
      <c r="F29" s="23">
        <v>5.1688000000000001</v>
      </c>
      <c r="G29" s="23">
        <v>5.2214</v>
      </c>
      <c r="H29" s="23">
        <v>5.9423000000000004</v>
      </c>
      <c r="I29" s="23">
        <v>5.4546999999999999</v>
      </c>
      <c r="J29" s="23">
        <v>5.3381000000000007</v>
      </c>
      <c r="K29" s="23">
        <v>6.1386000000000003</v>
      </c>
      <c r="L29" s="23">
        <v>6.9691999999999998</v>
      </c>
      <c r="M29" s="23">
        <v>9.2352999999999987</v>
      </c>
      <c r="N29" s="23">
        <v>11.0579</v>
      </c>
      <c r="O29" s="128">
        <f t="shared" si="6"/>
        <v>74.347399999999993</v>
      </c>
      <c r="Q29" s="126"/>
    </row>
    <row r="30" spans="2:17" ht="14" customHeight="1" x14ac:dyDescent="0.25">
      <c r="B30" s="15">
        <v>2022</v>
      </c>
      <c r="C30" s="23">
        <v>7.2999000000000001</v>
      </c>
      <c r="D30" s="23">
        <v>5.8452999999999999</v>
      </c>
      <c r="E30" s="23">
        <v>8.2100000000000009</v>
      </c>
      <c r="F30" s="23">
        <v>4.3628</v>
      </c>
      <c r="G30" s="23">
        <v>8.3033999999999999</v>
      </c>
      <c r="H30" s="23">
        <v>11.579000000000001</v>
      </c>
      <c r="I30" s="23">
        <v>9.8384999999999998</v>
      </c>
      <c r="J30" s="23">
        <v>10.522500000000001</v>
      </c>
      <c r="K30" s="23">
        <v>11.2094</v>
      </c>
      <c r="L30" s="23">
        <v>10.816600000000001</v>
      </c>
      <c r="M30" s="23">
        <v>11.035</v>
      </c>
      <c r="N30" s="23">
        <v>11.4221</v>
      </c>
      <c r="O30" s="128">
        <f>SUM(C30:N30)</f>
        <v>110.44450000000001</v>
      </c>
    </row>
    <row r="31" spans="2:17" ht="14" customHeight="1" x14ac:dyDescent="0.25">
      <c r="B31" s="15">
        <v>2023</v>
      </c>
      <c r="C31" s="23">
        <v>5.4329999999999998</v>
      </c>
      <c r="D31" s="23">
        <v>6.7206000000000001</v>
      </c>
      <c r="E31" s="23">
        <v>8.7254000000000005</v>
      </c>
      <c r="F31" s="23">
        <v>8.0041000000000011</v>
      </c>
      <c r="G31" s="23">
        <v>9.0281000000000002</v>
      </c>
      <c r="H31" s="23">
        <v>10.078299999999999</v>
      </c>
      <c r="I31" s="23">
        <v>10.562200000000001</v>
      </c>
      <c r="J31" s="23">
        <v>10.807</v>
      </c>
      <c r="K31" s="23">
        <v>12.2</v>
      </c>
      <c r="L31" s="23">
        <v>12.3</v>
      </c>
      <c r="M31" s="23">
        <v>15.7</v>
      </c>
      <c r="N31" s="23">
        <v>16.600000000000001</v>
      </c>
      <c r="O31" s="128">
        <f>SUM(C31:N31)</f>
        <v>126.15870000000001</v>
      </c>
    </row>
    <row r="32" spans="2:17" ht="14" customHeight="1" x14ac:dyDescent="0.25">
      <c r="B32" s="15">
        <v>2024</v>
      </c>
      <c r="C32" s="23">
        <v>12.6</v>
      </c>
      <c r="D32" s="23">
        <v>6.9</v>
      </c>
      <c r="E32" s="23">
        <v>11.3</v>
      </c>
      <c r="F32" s="23">
        <v>9.9</v>
      </c>
      <c r="G32" s="23">
        <v>10.4</v>
      </c>
      <c r="H32" s="23">
        <v>11.1</v>
      </c>
      <c r="I32" s="23">
        <v>11.4</v>
      </c>
      <c r="J32" s="23">
        <v>12.1</v>
      </c>
      <c r="K32" s="23">
        <v>13.1</v>
      </c>
      <c r="L32" s="23">
        <v>12.2</v>
      </c>
      <c r="M32" s="23">
        <v>13.6</v>
      </c>
      <c r="N32" s="23">
        <v>14.3</v>
      </c>
      <c r="O32" s="128">
        <f>SUM(C32:N32)</f>
        <v>138.9</v>
      </c>
    </row>
    <row r="33" spans="2:15" ht="14" customHeight="1" x14ac:dyDescent="0.25">
      <c r="B33" s="15">
        <v>2025</v>
      </c>
      <c r="C33" s="23">
        <v>8.5</v>
      </c>
      <c r="D33" s="23">
        <v>6.4</v>
      </c>
      <c r="E33" s="23">
        <v>10</v>
      </c>
      <c r="F33" s="23">
        <v>9.3000000000000007</v>
      </c>
      <c r="G33" s="23">
        <v>10.5</v>
      </c>
      <c r="H33" s="23">
        <v>10.7</v>
      </c>
      <c r="I33" s="23">
        <v>10.9</v>
      </c>
      <c r="J33" s="23">
        <v>10.9</v>
      </c>
      <c r="K33" s="23">
        <v>13.8</v>
      </c>
      <c r="L33" s="23">
        <v>16.5</v>
      </c>
      <c r="M33" s="23">
        <v>18.2</v>
      </c>
      <c r="N33" s="23">
        <v>18.2</v>
      </c>
      <c r="O33" s="128">
        <f>SUM(C33:N33)</f>
        <v>143.9</v>
      </c>
    </row>
    <row r="34" spans="2:15" ht="14" customHeight="1" x14ac:dyDescent="0.25">
      <c r="B34" s="133" t="s">
        <v>425</v>
      </c>
      <c r="C34" s="134">
        <v>-0.32200000000000001</v>
      </c>
      <c r="D34" s="134">
        <v>-7.1999999999999995E-2</v>
      </c>
      <c r="E34" s="134">
        <v>-0.11600000000000001</v>
      </c>
      <c r="F34" s="134">
        <v>-6.3E-2</v>
      </c>
      <c r="G34" s="136">
        <f t="shared" ref="G34:O34" si="7">G33/G32-1</f>
        <v>9.6153846153845812E-3</v>
      </c>
      <c r="H34" s="136">
        <f t="shared" si="7"/>
        <v>-3.6036036036036112E-2</v>
      </c>
      <c r="I34" s="136">
        <f t="shared" si="7"/>
        <v>-4.3859649122807043E-2</v>
      </c>
      <c r="J34" s="136">
        <f t="shared" si="7"/>
        <v>-9.9173553719008156E-2</v>
      </c>
      <c r="K34" s="136">
        <f t="shared" si="7"/>
        <v>5.3435114503816772E-2</v>
      </c>
      <c r="L34" s="136">
        <f t="shared" si="7"/>
        <v>0.35245901639344268</v>
      </c>
      <c r="M34" s="136">
        <f t="shared" si="7"/>
        <v>0.33823529411764697</v>
      </c>
      <c r="N34" s="136">
        <f t="shared" si="7"/>
        <v>0.27272727272727271</v>
      </c>
      <c r="O34" s="135">
        <f t="shared" si="7"/>
        <v>3.5997120230381485E-2</v>
      </c>
    </row>
    <row r="35" spans="2:15" ht="14" customHeight="1" x14ac:dyDescent="0.25">
      <c r="B35" s="133" t="s">
        <v>668</v>
      </c>
      <c r="C35" s="134">
        <v>-0.40400000000000003</v>
      </c>
      <c r="D35" s="134">
        <v>-0.246</v>
      </c>
      <c r="E35" s="134">
        <v>0.55200000000000005</v>
      </c>
      <c r="F35" s="134">
        <v>-7.0000000000000007E-2</v>
      </c>
      <c r="G35" s="134">
        <f t="shared" ref="G35:M35" si="8">G33/F33-1</f>
        <v>0.12903225806451601</v>
      </c>
      <c r="H35" s="134">
        <f t="shared" si="8"/>
        <v>1.904761904761898E-2</v>
      </c>
      <c r="I35" s="134">
        <f t="shared" si="8"/>
        <v>1.8691588785046731E-2</v>
      </c>
      <c r="J35" s="134">
        <f t="shared" si="8"/>
        <v>0</v>
      </c>
      <c r="K35" s="134">
        <f t="shared" si="8"/>
        <v>0.26605504587155959</v>
      </c>
      <c r="L35" s="134">
        <f t="shared" si="8"/>
        <v>0.19565217391304346</v>
      </c>
      <c r="M35" s="134">
        <f t="shared" si="8"/>
        <v>0.10303030303030303</v>
      </c>
      <c r="N35" s="134">
        <f>N33/M33-1</f>
        <v>0</v>
      </c>
      <c r="O35" s="132"/>
    </row>
    <row r="36" spans="2:15" ht="14" customHeight="1" x14ac:dyDescent="0.25">
      <c r="B36" s="15">
        <v>2026</v>
      </c>
      <c r="C36" s="23">
        <v>9.4</v>
      </c>
      <c r="D36" s="23">
        <v>5.7</v>
      </c>
      <c r="E36" s="23">
        <v>10.7</v>
      </c>
      <c r="F36" s="23">
        <v>11.5</v>
      </c>
      <c r="G36" s="23">
        <v>13.4</v>
      </c>
      <c r="H36" s="263"/>
      <c r="I36" s="263"/>
      <c r="J36" s="263"/>
      <c r="K36" s="263"/>
      <c r="L36" s="263"/>
      <c r="M36" s="263"/>
      <c r="N36" s="263"/>
      <c r="O36" s="264"/>
    </row>
    <row r="37" spans="2:15" ht="14" customHeight="1" x14ac:dyDescent="0.25">
      <c r="B37" s="133" t="s">
        <v>425</v>
      </c>
      <c r="C37" s="134">
        <f>C36/C33-1</f>
        <v>0.10588235294117654</v>
      </c>
      <c r="D37" s="134">
        <f>D36/D33-1</f>
        <v>-0.109375</v>
      </c>
      <c r="E37" s="134">
        <f>E36/E33-1</f>
        <v>6.999999999999984E-2</v>
      </c>
      <c r="F37" s="134">
        <f>F36/F33-1</f>
        <v>0.23655913978494625</v>
      </c>
      <c r="G37" s="134">
        <f>G36/G33-1</f>
        <v>0.27619047619047632</v>
      </c>
      <c r="H37" s="134"/>
      <c r="I37" s="134"/>
      <c r="J37" s="134"/>
      <c r="K37" s="134"/>
      <c r="L37" s="134"/>
      <c r="M37" s="134"/>
      <c r="N37" s="134"/>
      <c r="O37" s="135"/>
    </row>
    <row r="38" spans="2:15" ht="14" customHeight="1" x14ac:dyDescent="0.25">
      <c r="B38" s="133" t="s">
        <v>668</v>
      </c>
      <c r="C38" s="134">
        <f>C36/N33-1</f>
        <v>-0.48351648351648346</v>
      </c>
      <c r="D38" s="134">
        <f>D36/C36-1</f>
        <v>-0.3936170212765957</v>
      </c>
      <c r="E38" s="134">
        <f>E36/D36-1</f>
        <v>0.87719298245614019</v>
      </c>
      <c r="F38" s="134">
        <f>F36/E36-1</f>
        <v>7.4766355140186924E-2</v>
      </c>
      <c r="G38" s="134">
        <f>G36/F36-1</f>
        <v>0.16521739130434776</v>
      </c>
      <c r="H38" s="134"/>
      <c r="I38" s="134"/>
      <c r="J38" s="134"/>
      <c r="K38" s="134"/>
      <c r="L38" s="134"/>
      <c r="M38" s="134"/>
      <c r="N38" s="134"/>
      <c r="O38" s="137"/>
    </row>
    <row r="40" spans="2:15" ht="14" customHeight="1" x14ac:dyDescent="0.25">
      <c r="B40" s="260" t="s">
        <v>863</v>
      </c>
      <c r="C40" s="129" t="s">
        <v>655</v>
      </c>
      <c r="D40" s="129" t="s">
        <v>656</v>
      </c>
      <c r="E40" s="129" t="s">
        <v>657</v>
      </c>
      <c r="F40" s="129" t="s">
        <v>658</v>
      </c>
      <c r="G40" s="129" t="s">
        <v>659</v>
      </c>
      <c r="H40" s="129" t="s">
        <v>660</v>
      </c>
      <c r="I40" s="129" t="s">
        <v>661</v>
      </c>
      <c r="J40" s="129" t="s">
        <v>662</v>
      </c>
      <c r="K40" s="129" t="s">
        <v>663</v>
      </c>
      <c r="L40" s="129" t="s">
        <v>664</v>
      </c>
      <c r="M40" s="129" t="s">
        <v>665</v>
      </c>
      <c r="N40" s="129" t="s">
        <v>666</v>
      </c>
      <c r="O40" s="129" t="s">
        <v>667</v>
      </c>
    </row>
    <row r="41" spans="2:15" ht="14" customHeight="1" x14ac:dyDescent="0.25">
      <c r="B41" s="15">
        <v>2020</v>
      </c>
      <c r="C41" s="23">
        <v>0.72339999999999993</v>
      </c>
      <c r="D41" s="23">
        <v>7.6599999999999988E-2</v>
      </c>
      <c r="E41" s="23">
        <v>0.53449999999999998</v>
      </c>
      <c r="F41" s="23">
        <v>0.93079999999999996</v>
      </c>
      <c r="G41" s="23">
        <v>0.80859999999999999</v>
      </c>
      <c r="H41" s="23">
        <v>1.6693</v>
      </c>
      <c r="I41" s="23">
        <v>1.7284000000000002</v>
      </c>
      <c r="J41" s="23">
        <v>1.5620999999999998</v>
      </c>
      <c r="K41" s="23">
        <v>2.3313000000000001</v>
      </c>
      <c r="L41" s="23">
        <v>2.4129</v>
      </c>
      <c r="M41" s="23">
        <v>4.7176999999999998</v>
      </c>
      <c r="N41" s="23">
        <v>6.8872999999999998</v>
      </c>
      <c r="O41" s="128">
        <f t="shared" ref="O41:O42" si="9">SUM(C41:N41)</f>
        <v>24.382899999999999</v>
      </c>
    </row>
    <row r="42" spans="2:15" ht="14" customHeight="1" x14ac:dyDescent="0.25">
      <c r="B42" s="15">
        <v>2021</v>
      </c>
      <c r="C42" s="23">
        <v>3.2539000000000002</v>
      </c>
      <c r="D42" s="23">
        <v>2.2403000000000004</v>
      </c>
      <c r="E42" s="23">
        <v>3.8906999999999998</v>
      </c>
      <c r="F42" s="23">
        <v>3.2065999999999999</v>
      </c>
      <c r="G42" s="23">
        <v>4.5171000000000001</v>
      </c>
      <c r="H42" s="23">
        <v>5.1138999999999992</v>
      </c>
      <c r="I42" s="23">
        <v>5.7986000000000004</v>
      </c>
      <c r="J42" s="23">
        <v>7.2145000000000001</v>
      </c>
      <c r="K42" s="23">
        <v>9.5419999999999998</v>
      </c>
      <c r="L42" s="23">
        <v>8.4339999999999993</v>
      </c>
      <c r="M42" s="23">
        <v>11.573600000000001</v>
      </c>
      <c r="N42" s="23">
        <v>15.0517</v>
      </c>
      <c r="O42" s="128">
        <f t="shared" si="9"/>
        <v>79.8369</v>
      </c>
    </row>
    <row r="43" spans="2:15" ht="14" customHeight="1" x14ac:dyDescent="0.25">
      <c r="B43" s="15">
        <v>2022</v>
      </c>
      <c r="C43" s="23">
        <v>8.873899999999999</v>
      </c>
      <c r="D43" s="23">
        <v>7.7801</v>
      </c>
      <c r="E43" s="23">
        <v>13.181299999999998</v>
      </c>
      <c r="F43" s="23">
        <v>8.8879999999999999</v>
      </c>
      <c r="G43" s="23">
        <v>10.232299999999999</v>
      </c>
      <c r="H43" s="23">
        <v>15.4163</v>
      </c>
      <c r="I43" s="23">
        <v>14.3369</v>
      </c>
      <c r="J43" s="23">
        <v>17.2105</v>
      </c>
      <c r="K43" s="23">
        <v>20.400299999999998</v>
      </c>
      <c r="L43" s="23">
        <v>19.665299999999998</v>
      </c>
      <c r="M43" s="23">
        <v>23.090799999999998</v>
      </c>
      <c r="N43" s="23">
        <v>24.677400000000002</v>
      </c>
      <c r="O43" s="128">
        <f>SUM(C43:N43)</f>
        <v>183.75309999999999</v>
      </c>
    </row>
    <row r="44" spans="2:15" ht="14" customHeight="1" x14ac:dyDescent="0.25">
      <c r="B44" s="15">
        <v>2023</v>
      </c>
      <c r="C44" s="23">
        <v>10.683200000000001</v>
      </c>
      <c r="D44" s="23">
        <v>15.193100000000001</v>
      </c>
      <c r="E44" s="23">
        <v>19.0395</v>
      </c>
      <c r="F44" s="23">
        <v>17.1266</v>
      </c>
      <c r="G44" s="23">
        <v>19.153299999999998</v>
      </c>
      <c r="H44" s="23">
        <v>22.738400000000002</v>
      </c>
      <c r="I44" s="23">
        <v>21.6602</v>
      </c>
      <c r="J44" s="23">
        <v>24.051099999999998</v>
      </c>
      <c r="K44" s="23">
        <v>24.2</v>
      </c>
      <c r="L44" s="23">
        <v>26.8</v>
      </c>
      <c r="M44" s="23">
        <v>29.1</v>
      </c>
      <c r="N44" s="23">
        <v>31.3</v>
      </c>
      <c r="O44" s="128">
        <f>SUM(C44:N44)</f>
        <v>261.04539999999997</v>
      </c>
    </row>
    <row r="45" spans="2:15" ht="14" customHeight="1" x14ac:dyDescent="0.25">
      <c r="B45" s="15">
        <v>2024</v>
      </c>
      <c r="C45" s="23">
        <v>19.7</v>
      </c>
      <c r="D45" s="23">
        <v>11</v>
      </c>
      <c r="E45" s="23">
        <v>23.6</v>
      </c>
      <c r="F45" s="23">
        <v>25.5</v>
      </c>
      <c r="G45" s="23">
        <v>29.5</v>
      </c>
      <c r="H45" s="23">
        <v>31.7</v>
      </c>
      <c r="I45" s="23">
        <v>30.1</v>
      </c>
      <c r="J45" s="23">
        <v>35</v>
      </c>
      <c r="K45" s="23">
        <v>41.3</v>
      </c>
      <c r="L45" s="23">
        <v>47</v>
      </c>
      <c r="M45" s="23">
        <v>53.6</v>
      </c>
      <c r="N45" s="23">
        <v>61</v>
      </c>
      <c r="O45" s="128">
        <f>SUM(C45:N45)</f>
        <v>409</v>
      </c>
    </row>
    <row r="46" spans="2:15" ht="14" customHeight="1" x14ac:dyDescent="0.25">
      <c r="B46" s="15">
        <v>2025</v>
      </c>
      <c r="C46" s="23">
        <v>30.2</v>
      </c>
      <c r="D46" s="23">
        <v>28.4</v>
      </c>
      <c r="E46" s="23">
        <v>46.6</v>
      </c>
      <c r="F46" s="23">
        <v>44.8</v>
      </c>
      <c r="G46" s="23">
        <v>46.5</v>
      </c>
      <c r="H46" s="23">
        <v>47.4</v>
      </c>
      <c r="I46" s="23">
        <v>44.9</v>
      </c>
      <c r="J46" s="23">
        <v>51.6</v>
      </c>
      <c r="K46" s="23">
        <v>62.2</v>
      </c>
      <c r="L46" s="23">
        <v>67.5</v>
      </c>
      <c r="M46" s="23">
        <v>75.3</v>
      </c>
      <c r="N46" s="23">
        <v>79.8</v>
      </c>
      <c r="O46" s="128">
        <f>SUM(C46:N46)</f>
        <v>625.19999999999993</v>
      </c>
    </row>
    <row r="47" spans="2:15" ht="14" customHeight="1" x14ac:dyDescent="0.25">
      <c r="B47" s="133" t="s">
        <v>425</v>
      </c>
      <c r="C47" s="136">
        <v>0.53500000000000003</v>
      </c>
      <c r="D47" s="136">
        <v>1.58</v>
      </c>
      <c r="E47" s="136">
        <v>0.97</v>
      </c>
      <c r="F47" s="136">
        <v>0.75900000000000001</v>
      </c>
      <c r="G47" s="136">
        <f t="shared" ref="G47:O47" si="10">G46/G45-1</f>
        <v>0.57627118644067798</v>
      </c>
      <c r="H47" s="136">
        <f t="shared" si="10"/>
        <v>0.49526813880126186</v>
      </c>
      <c r="I47" s="136">
        <f t="shared" si="10"/>
        <v>0.49169435215946833</v>
      </c>
      <c r="J47" s="136">
        <f t="shared" si="10"/>
        <v>0.47428571428571442</v>
      </c>
      <c r="K47" s="136">
        <f t="shared" si="10"/>
        <v>0.50605326876513335</v>
      </c>
      <c r="L47" s="136">
        <f t="shared" si="10"/>
        <v>0.43617021276595747</v>
      </c>
      <c r="M47" s="136">
        <f t="shared" si="10"/>
        <v>0.40485074626865658</v>
      </c>
      <c r="N47" s="136">
        <f t="shared" si="10"/>
        <v>0.30819672131147535</v>
      </c>
      <c r="O47" s="135">
        <f t="shared" si="10"/>
        <v>0.5286063569682149</v>
      </c>
    </row>
    <row r="48" spans="2:15" ht="14" customHeight="1" x14ac:dyDescent="0.25">
      <c r="B48" s="133" t="s">
        <v>668</v>
      </c>
      <c r="C48" s="134">
        <v>-0.505</v>
      </c>
      <c r="D48" s="134">
        <v>-0.06</v>
      </c>
      <c r="E48" s="134">
        <v>0.63900000000000001</v>
      </c>
      <c r="F48" s="134">
        <v>-3.7999999999999999E-2</v>
      </c>
      <c r="G48" s="134">
        <f t="shared" ref="G48:N48" si="11">G46/F46-1</f>
        <v>3.7946428571428603E-2</v>
      </c>
      <c r="H48" s="134">
        <f t="shared" si="11"/>
        <v>1.9354838709677358E-2</v>
      </c>
      <c r="I48" s="134">
        <f t="shared" si="11"/>
        <v>-5.2742616033755296E-2</v>
      </c>
      <c r="J48" s="134">
        <f t="shared" si="11"/>
        <v>0.1492204899777283</v>
      </c>
      <c r="K48" s="134">
        <f t="shared" si="11"/>
        <v>0.20542635658914721</v>
      </c>
      <c r="L48" s="134">
        <f t="shared" si="11"/>
        <v>8.5209003215434009E-2</v>
      </c>
      <c r="M48" s="134">
        <f t="shared" si="11"/>
        <v>0.11555555555555541</v>
      </c>
      <c r="N48" s="134">
        <f t="shared" si="11"/>
        <v>5.9760956175298752E-2</v>
      </c>
      <c r="O48" s="139"/>
    </row>
    <row r="49" spans="2:15" ht="14" customHeight="1" x14ac:dyDescent="0.25">
      <c r="B49" s="15">
        <v>2026</v>
      </c>
      <c r="C49" s="23">
        <v>32.700000000000003</v>
      </c>
      <c r="D49" s="23">
        <v>20.6</v>
      </c>
      <c r="E49" s="23">
        <v>45.8</v>
      </c>
      <c r="F49" s="23">
        <v>50.8</v>
      </c>
      <c r="G49" s="23">
        <v>58.4</v>
      </c>
      <c r="H49" s="263"/>
      <c r="I49" s="263"/>
      <c r="J49" s="263"/>
      <c r="K49" s="263"/>
      <c r="L49" s="263"/>
      <c r="M49" s="263"/>
      <c r="N49" s="263"/>
      <c r="O49" s="264"/>
    </row>
    <row r="50" spans="2:15" ht="14" customHeight="1" x14ac:dyDescent="0.25">
      <c r="B50" s="133" t="s">
        <v>425</v>
      </c>
      <c r="C50" s="134">
        <f>C49/C46-1</f>
        <v>8.2781456953642474E-2</v>
      </c>
      <c r="D50" s="134">
        <f>D49/D46-1</f>
        <v>-0.27464788732394363</v>
      </c>
      <c r="E50" s="134">
        <f>E49/E46-1</f>
        <v>-1.7167381974249052E-2</v>
      </c>
      <c r="F50" s="134">
        <f>F49/F46-1</f>
        <v>0.1339285714285714</v>
      </c>
      <c r="G50" s="134">
        <f>G49/G46-1</f>
        <v>0.25591397849462361</v>
      </c>
      <c r="H50" s="134"/>
      <c r="I50" s="134"/>
      <c r="J50" s="134"/>
      <c r="K50" s="134"/>
      <c r="L50" s="134"/>
      <c r="M50" s="134"/>
      <c r="N50" s="134"/>
      <c r="O50" s="135"/>
    </row>
    <row r="51" spans="2:15" ht="14" customHeight="1" x14ac:dyDescent="0.25">
      <c r="B51" s="133" t="s">
        <v>668</v>
      </c>
      <c r="C51" s="134">
        <f>C49/N46-1</f>
        <v>-0.59022556390977443</v>
      </c>
      <c r="D51" s="134">
        <f>D49/C49-1</f>
        <v>-0.37003058103975539</v>
      </c>
      <c r="E51" s="134">
        <f>E49/D49-1</f>
        <v>1.2233009708737863</v>
      </c>
      <c r="F51" s="134">
        <f>F49/E49-1</f>
        <v>0.10917030567685582</v>
      </c>
      <c r="G51" s="134">
        <f>G49/F49-1</f>
        <v>0.14960629921259838</v>
      </c>
      <c r="H51" s="134"/>
      <c r="I51" s="134"/>
      <c r="J51" s="134"/>
      <c r="K51" s="134"/>
      <c r="L51" s="134"/>
      <c r="M51" s="134"/>
      <c r="N51" s="134"/>
      <c r="O51" s="137"/>
    </row>
    <row r="53" spans="2:15" ht="14" customHeight="1" x14ac:dyDescent="0.25">
      <c r="B53" s="123" t="s">
        <v>654</v>
      </c>
    </row>
  </sheetData>
  <phoneticPr fontId="14" type="noConversion"/>
  <pageMargins left="0.7" right="0.7" top="0.75" bottom="0.75" header="0.3" footer="0.3"/>
  <pageSetup paperSize="9" orientation="portrait" r:id="rId1"/>
  <ignoredErrors>
    <ignoredError sqref="O15:O16 O17 O28:O29 O41:O42 O20 O33 O46:O47 O18 O19 O30 O31 O32 O43 O44 O4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076"/>
  <sheetViews>
    <sheetView topLeftCell="F37" workbookViewId="0">
      <selection activeCell="L47" sqref="L47"/>
    </sheetView>
  </sheetViews>
  <sheetFormatPr defaultColWidth="8.59765625" defaultRowHeight="14" customHeight="1" x14ac:dyDescent="0.25"/>
  <cols>
    <col min="1" max="1" width="5.69921875" style="214" customWidth="1"/>
    <col min="2" max="11" width="10.69921875" style="6" customWidth="1"/>
    <col min="12" max="13" width="14.296875" style="6" bestFit="1" customWidth="1"/>
    <col min="14" max="32" width="10.69921875" style="6" customWidth="1"/>
    <col min="33" max="35" width="12.69921875" style="6" customWidth="1"/>
    <col min="36" max="39" width="8.59765625" style="6"/>
    <col min="40" max="40" width="11.8984375" style="6" customWidth="1"/>
    <col min="41" max="16384" width="8.59765625" style="6"/>
  </cols>
  <sheetData>
    <row r="1" spans="2:14" ht="14" customHeight="1" x14ac:dyDescent="0.25">
      <c r="B1" s="215" t="s">
        <v>871</v>
      </c>
      <c r="C1" s="214"/>
      <c r="D1" s="214"/>
      <c r="E1" s="214"/>
      <c r="F1" s="214"/>
      <c r="G1" s="214"/>
      <c r="H1" s="214"/>
      <c r="I1" s="214"/>
      <c r="J1" s="214"/>
      <c r="K1" s="214"/>
      <c r="L1" s="214"/>
      <c r="M1" s="214"/>
      <c r="N1" s="214"/>
    </row>
    <row r="2" spans="2:14" ht="15" customHeight="1" x14ac:dyDescent="0.25">
      <c r="B2" s="124">
        <v>2026</v>
      </c>
      <c r="C2" s="124" t="s">
        <v>693</v>
      </c>
      <c r="D2" s="124" t="s">
        <v>694</v>
      </c>
      <c r="E2" s="124" t="s">
        <v>695</v>
      </c>
      <c r="F2" s="124" t="s">
        <v>696</v>
      </c>
      <c r="G2" s="124" t="s">
        <v>697</v>
      </c>
      <c r="H2" s="124" t="s">
        <v>698</v>
      </c>
      <c r="I2" s="124" t="s">
        <v>699</v>
      </c>
      <c r="J2" s="124" t="s">
        <v>700</v>
      </c>
      <c r="K2" s="124" t="s">
        <v>701</v>
      </c>
      <c r="L2" s="124" t="s">
        <v>702</v>
      </c>
      <c r="M2" s="124" t="s">
        <v>703</v>
      </c>
      <c r="N2" s="124" t="s">
        <v>704</v>
      </c>
    </row>
    <row r="3" spans="2:14" ht="15" customHeight="1" x14ac:dyDescent="0.25">
      <c r="B3" s="147" t="s">
        <v>17</v>
      </c>
      <c r="C3" s="148">
        <v>32.5</v>
      </c>
      <c r="D3" s="148">
        <v>24.4</v>
      </c>
      <c r="E3" s="148">
        <v>42.6</v>
      </c>
      <c r="F3" s="148">
        <v>41.900000000000006</v>
      </c>
      <c r="G3" s="148"/>
      <c r="H3" s="148"/>
      <c r="I3" s="148"/>
      <c r="J3" s="148"/>
      <c r="K3" s="148"/>
      <c r="L3" s="148"/>
      <c r="M3" s="148"/>
      <c r="N3" s="152"/>
    </row>
    <row r="4" spans="2:14" ht="15" customHeight="1" x14ac:dyDescent="0.25">
      <c r="B4" s="149" t="s">
        <v>15</v>
      </c>
      <c r="C4" s="150">
        <v>9.9</v>
      </c>
      <c r="D4" s="150">
        <v>8.2000000000000011</v>
      </c>
      <c r="E4" s="150">
        <v>15.399999999999999</v>
      </c>
      <c r="F4" s="150">
        <v>16.5</v>
      </c>
      <c r="G4" s="150"/>
      <c r="H4" s="150"/>
      <c r="I4" s="150"/>
      <c r="J4" s="150"/>
      <c r="K4" s="150"/>
      <c r="L4" s="150"/>
      <c r="M4" s="150"/>
      <c r="N4" s="150"/>
    </row>
    <row r="5" spans="2:14" ht="15" customHeight="1" x14ac:dyDescent="0.25">
      <c r="B5" s="147" t="s">
        <v>20</v>
      </c>
      <c r="C5" s="148">
        <v>4.7</v>
      </c>
      <c r="D5" s="148">
        <v>7.1000000000000005</v>
      </c>
      <c r="E5" s="148">
        <v>11.899999999999999</v>
      </c>
      <c r="F5" s="148">
        <v>8.3000000000000007</v>
      </c>
      <c r="G5" s="148"/>
      <c r="H5" s="148"/>
      <c r="I5" s="148"/>
      <c r="J5" s="148"/>
      <c r="K5" s="148"/>
      <c r="L5" s="148"/>
      <c r="M5" s="148"/>
      <c r="N5" s="152"/>
    </row>
    <row r="6" spans="2:14" ht="15" customHeight="1" x14ac:dyDescent="0.25">
      <c r="B6" s="149" t="s">
        <v>21</v>
      </c>
      <c r="C6" s="150">
        <v>3.8</v>
      </c>
      <c r="D6" s="150">
        <v>2.5</v>
      </c>
      <c r="E6" s="150">
        <v>5.3</v>
      </c>
      <c r="F6" s="150">
        <v>6.5000000000000018</v>
      </c>
      <c r="G6" s="150"/>
      <c r="H6" s="150"/>
      <c r="I6" s="150"/>
      <c r="J6" s="150"/>
      <c r="K6" s="150"/>
      <c r="L6" s="150"/>
      <c r="M6" s="150"/>
      <c r="N6" s="150"/>
    </row>
    <row r="7" spans="2:14" ht="15" customHeight="1" x14ac:dyDescent="0.25">
      <c r="B7" s="147" t="s">
        <v>22</v>
      </c>
      <c r="C7" s="148">
        <v>2.8</v>
      </c>
      <c r="D7" s="148">
        <v>2.5</v>
      </c>
      <c r="E7" s="148">
        <v>4.8999999999999995</v>
      </c>
      <c r="F7" s="148">
        <v>5.4</v>
      </c>
      <c r="G7" s="148"/>
      <c r="H7" s="148"/>
      <c r="I7" s="148"/>
      <c r="J7" s="148"/>
      <c r="K7" s="148"/>
      <c r="L7" s="148"/>
      <c r="M7" s="148"/>
      <c r="N7" s="152"/>
    </row>
    <row r="8" spans="2:14" ht="15" customHeight="1" x14ac:dyDescent="0.25">
      <c r="B8" s="149" t="s">
        <v>32</v>
      </c>
      <c r="C8" s="150">
        <v>1.8</v>
      </c>
      <c r="D8" s="150">
        <v>1.9000000000000001</v>
      </c>
      <c r="E8" s="150">
        <v>3.8</v>
      </c>
      <c r="F8" s="150">
        <v>4</v>
      </c>
      <c r="G8" s="150"/>
      <c r="H8" s="150"/>
      <c r="I8" s="150"/>
      <c r="J8" s="150"/>
      <c r="K8" s="150"/>
      <c r="L8" s="150"/>
      <c r="M8" s="150"/>
      <c r="N8" s="150"/>
    </row>
    <row r="9" spans="2:14" ht="15" customHeight="1" x14ac:dyDescent="0.25">
      <c r="B9" s="147" t="s">
        <v>25</v>
      </c>
      <c r="C9" s="148">
        <v>2.2999999999999998</v>
      </c>
      <c r="D9" s="148">
        <v>2.9000000000000004</v>
      </c>
      <c r="E9" s="148">
        <v>3.8</v>
      </c>
      <c r="F9" s="148">
        <v>3.3000000000000007</v>
      </c>
      <c r="G9" s="148"/>
      <c r="H9" s="148"/>
      <c r="I9" s="148"/>
      <c r="J9" s="148"/>
      <c r="K9" s="148"/>
      <c r="L9" s="148"/>
      <c r="M9" s="148"/>
      <c r="N9" s="152"/>
    </row>
    <row r="10" spans="2:14" ht="15" customHeight="1" x14ac:dyDescent="0.25">
      <c r="B10" s="149" t="s">
        <v>18</v>
      </c>
      <c r="C10" s="150">
        <v>3.1</v>
      </c>
      <c r="D10" s="150">
        <v>2.1999999999999997</v>
      </c>
      <c r="E10" s="150">
        <v>3.8</v>
      </c>
      <c r="F10" s="150">
        <v>2.9000000000000004</v>
      </c>
      <c r="G10" s="150"/>
      <c r="H10" s="150"/>
      <c r="I10" s="150"/>
      <c r="J10" s="150"/>
      <c r="K10" s="150"/>
      <c r="L10" s="150"/>
      <c r="M10" s="150"/>
      <c r="N10" s="150"/>
    </row>
    <row r="11" spans="2:14" ht="15" customHeight="1" x14ac:dyDescent="0.25">
      <c r="B11" s="147" t="s">
        <v>35</v>
      </c>
      <c r="C11" s="148">
        <v>1.9</v>
      </c>
      <c r="D11" s="148">
        <v>1.9</v>
      </c>
      <c r="E11" s="148">
        <v>2.7</v>
      </c>
      <c r="F11" s="148">
        <v>2.8000000000000007</v>
      </c>
      <c r="G11" s="148"/>
      <c r="H11" s="148"/>
      <c r="I11" s="148"/>
      <c r="J11" s="148"/>
      <c r="K11" s="148"/>
      <c r="L11" s="148"/>
      <c r="M11" s="148"/>
      <c r="N11" s="152"/>
    </row>
    <row r="12" spans="2:14" ht="15" customHeight="1" x14ac:dyDescent="0.25">
      <c r="B12" s="151"/>
      <c r="C12" s="152"/>
      <c r="D12" s="152"/>
      <c r="E12" s="152"/>
      <c r="F12" s="152"/>
      <c r="G12" s="152"/>
      <c r="H12" s="152"/>
      <c r="I12" s="152"/>
      <c r="J12" s="152"/>
      <c r="K12" s="152"/>
      <c r="L12" s="152"/>
      <c r="M12" s="152"/>
      <c r="N12" s="214"/>
    </row>
    <row r="13" spans="2:14" ht="15" customHeight="1" x14ac:dyDescent="0.25">
      <c r="B13" s="124">
        <v>2025</v>
      </c>
      <c r="C13" s="124" t="s">
        <v>693</v>
      </c>
      <c r="D13" s="124" t="s">
        <v>694</v>
      </c>
      <c r="E13" s="124" t="s">
        <v>695</v>
      </c>
      <c r="F13" s="124" t="s">
        <v>696</v>
      </c>
      <c r="G13" s="124" t="s">
        <v>697</v>
      </c>
      <c r="H13" s="124" t="s">
        <v>698</v>
      </c>
      <c r="I13" s="124" t="s">
        <v>699</v>
      </c>
      <c r="J13" s="124" t="s">
        <v>700</v>
      </c>
      <c r="K13" s="124" t="s">
        <v>701</v>
      </c>
      <c r="L13" s="124" t="s">
        <v>702</v>
      </c>
      <c r="M13" s="124" t="s">
        <v>703</v>
      </c>
      <c r="N13" s="124" t="s">
        <v>704</v>
      </c>
    </row>
    <row r="14" spans="2:14" ht="15" customHeight="1" x14ac:dyDescent="0.25">
      <c r="B14" s="147" t="s">
        <v>68</v>
      </c>
      <c r="C14" s="148">
        <f>VLOOKUP(B14,$C$259:$E$271,3,0)</f>
        <v>25</v>
      </c>
      <c r="D14" s="148">
        <f>VLOOKUP(B14,$C$244:$E$256,3,0)</f>
        <v>24.6</v>
      </c>
      <c r="E14" s="148">
        <f>VLOOKUP(B14,$C$229:$E$241,3,0)</f>
        <v>35.299999999999997</v>
      </c>
      <c r="F14" s="148">
        <f>VLOOKUP(B14,$C$214:$E$226,3,0)</f>
        <v>32.700000000000003</v>
      </c>
      <c r="G14" s="148">
        <f>VLOOKUP(B14,$C$199:$E$211,3,0)</f>
        <v>35.1</v>
      </c>
      <c r="H14" s="148">
        <f>VLOOKUP(B14,$C$184:$E$196,3,0)</f>
        <v>38.200000000000003</v>
      </c>
      <c r="I14" s="148">
        <f>VLOOKUP(B14,$C$169:$E$181,3,0)</f>
        <v>30.5</v>
      </c>
      <c r="J14" s="148">
        <f>VLOOKUP(B14,$C$154:$E$166,3,0)</f>
        <v>33.1</v>
      </c>
      <c r="K14" s="148">
        <f>VLOOKUP(B14,$C$139:$E$151,3,0)</f>
        <v>42.7</v>
      </c>
      <c r="L14" s="148">
        <f>VLOOKUP(B14,$C$124:$E$136,3,0)</f>
        <v>58</v>
      </c>
      <c r="M14" s="148">
        <f>VLOOKUP(B14,$C$109:$E$121,3,0)</f>
        <v>44.800000000000011</v>
      </c>
      <c r="N14" s="152">
        <f>VLOOKUP(B14,$C$94:$E$106,3,0)</f>
        <v>64.699999999999989</v>
      </c>
    </row>
    <row r="15" spans="2:14" ht="15" customHeight="1" x14ac:dyDescent="0.25">
      <c r="B15" s="149" t="s">
        <v>69</v>
      </c>
      <c r="C15" s="150">
        <f>VLOOKUP(B15,$C$259:$E$271,3,0)</f>
        <v>10.9</v>
      </c>
      <c r="D15" s="150">
        <f>VLOOKUP(B15,$C$244:$E$256,3,0)</f>
        <v>10.999999999999998</v>
      </c>
      <c r="E15" s="150">
        <f>VLOOKUP(B15,$C$229:$E$241,3,0)</f>
        <v>15.1</v>
      </c>
      <c r="F15" s="150">
        <f>VLOOKUP(B15,$C$214:$E$226,3,0)</f>
        <v>16.399999999999999</v>
      </c>
      <c r="G15" s="150">
        <f>VLOOKUP(B15,$C$199:$E$211,3,0)</f>
        <v>16.600000000000001</v>
      </c>
      <c r="H15" s="150">
        <f>VLOOKUP(B15,$C$184:$E$196,3,0)</f>
        <v>19.899999999999999</v>
      </c>
      <c r="I15" s="150">
        <f>VLOOKUP(B15,$C$169:$E$181,3,0)</f>
        <v>15.1</v>
      </c>
      <c r="J15" s="150">
        <f>VLOOKUP(B15,$C$154:$E$166,3,0)</f>
        <v>19.8</v>
      </c>
      <c r="K15" s="150">
        <f>VLOOKUP(B15,$C$139:$E$151,3,0)</f>
        <v>20.2</v>
      </c>
      <c r="L15" s="150">
        <f>VLOOKUP(B15,$C$124:$E$136,3,0)</f>
        <v>12.900000000000006</v>
      </c>
      <c r="M15" s="150">
        <f>VLOOKUP(B15,$C$109:$E$121,3,0)</f>
        <v>17.299999999999983</v>
      </c>
      <c r="N15" s="150">
        <f>VLOOKUP(B15,$C$94:$E$106,3,0)</f>
        <v>19.600000000000023</v>
      </c>
    </row>
    <row r="16" spans="2:14" ht="15" customHeight="1" x14ac:dyDescent="0.25">
      <c r="B16" s="147" t="s">
        <v>70</v>
      </c>
      <c r="C16" s="148">
        <f>VLOOKUP(B16,$C$259:$E$271,3,0)</f>
        <v>2.2000000000000002</v>
      </c>
      <c r="D16" s="148">
        <f>VLOOKUP(B16,$C$244:$E$256,3,0)</f>
        <v>2.3999999999999995</v>
      </c>
      <c r="E16" s="148">
        <f>VLOOKUP(B16,$C$229:$E$241,3,0)</f>
        <v>3.1</v>
      </c>
      <c r="F16" s="148">
        <f>VLOOKUP(B16,$C$214:$E$226,3,0)</f>
        <v>2.9</v>
      </c>
      <c r="G16" s="148">
        <f>VLOOKUP(B16,$C$199:$E$211,3,0)</f>
        <v>3.2</v>
      </c>
      <c r="H16" s="148">
        <f>VLOOKUP(B16,$C$184:$E$196,3,0)</f>
        <v>4.0999999999999996</v>
      </c>
      <c r="I16" s="148">
        <f>VLOOKUP(B16,$C$169:$E$181,3,0)</f>
        <v>3.2</v>
      </c>
      <c r="J16" s="148">
        <f>VLOOKUP(B16,$C$154:$E$166,3,0)</f>
        <v>9.5</v>
      </c>
      <c r="K16" s="148">
        <f>VLOOKUP(B16,$C$139:$E$151,3,0)</f>
        <v>12.3</v>
      </c>
      <c r="L16" s="148">
        <f>VLOOKUP(B16,$C$124:$E$136,3,0)</f>
        <v>9.0000000000000036</v>
      </c>
      <c r="M16" s="148">
        <f>VLOOKUP(B16,$C$109:$E$121,3,0)</f>
        <v>6.1999999999999957</v>
      </c>
      <c r="N16" s="152">
        <f>VLOOKUP(B16,$C$94:$E$106,3,0)</f>
        <v>8.6000000000000014</v>
      </c>
    </row>
    <row r="17" spans="1:14" ht="15" customHeight="1" x14ac:dyDescent="0.25">
      <c r="B17" s="149" t="s">
        <v>127</v>
      </c>
      <c r="C17" s="150">
        <f>VLOOKUP(B17,$C$259:$E$271,3,0)</f>
        <v>6</v>
      </c>
      <c r="D17" s="150">
        <f>VLOOKUP(B17,$C$244:$E$256,3,0)</f>
        <v>6.6999999999999993</v>
      </c>
      <c r="E17" s="150">
        <f>VLOOKUP(B17,$C$229:$E$241,3,0)</f>
        <v>11.1</v>
      </c>
      <c r="F17" s="150">
        <f>VLOOKUP(B17,$C$214:$E$226,3,0)</f>
        <v>7.6</v>
      </c>
      <c r="G17" s="150">
        <f>VLOOKUP(B17,$C$199:$E$211,3,0)</f>
        <v>8.5</v>
      </c>
      <c r="H17" s="150">
        <f>VLOOKUP(B17,$C$184:$E$196,3,0)</f>
        <v>7.3</v>
      </c>
      <c r="I17" s="150">
        <f>VLOOKUP(B17,$C$169:$E$181,3,0)</f>
        <v>8.9</v>
      </c>
      <c r="J17" s="150">
        <f>VLOOKUP(B17,$C$154:$E$166,3,0)</f>
        <v>11.3</v>
      </c>
      <c r="K17" s="150">
        <f>VLOOKUP(B17,$C$139:$E$151,3,0)</f>
        <v>7.2</v>
      </c>
      <c r="L17" s="150">
        <f>VLOOKUP(B17,$C$124:$E$136,3,0)</f>
        <v>6.7999999999999972</v>
      </c>
      <c r="M17" s="150">
        <f>VLOOKUP(B17,$C$109:$E$121,3,0)</f>
        <v>10.400000000000006</v>
      </c>
      <c r="N17" s="150">
        <f>VLOOKUP(B17,$C$94:$E$106,3,0)</f>
        <v>11.899999999999991</v>
      </c>
    </row>
    <row r="18" spans="1:14" ht="15" customHeight="1" x14ac:dyDescent="0.25">
      <c r="B18" s="147" t="s">
        <v>71</v>
      </c>
      <c r="C18" s="148">
        <f>VLOOKUP(B18,$C$259:$E$271,3,0)</f>
        <v>2.4</v>
      </c>
      <c r="D18" s="148">
        <f>VLOOKUP(B18,$C$244:$E$256,3,0)</f>
        <v>2.6</v>
      </c>
      <c r="E18" s="148">
        <f>VLOOKUP(B18,$C$229:$E$241,3,0)</f>
        <v>3.6</v>
      </c>
      <c r="F18" s="148">
        <f>VLOOKUP(B18,$C$214:$E$226,3,0)</f>
        <v>3.3</v>
      </c>
      <c r="G18" s="148">
        <f>VLOOKUP(B18,$C$199:$E$211,3,0)</f>
        <v>5</v>
      </c>
      <c r="H18" s="148">
        <f>VLOOKUP(B18,$C$184:$E$196,3,0)</f>
        <v>4.9000000000000004</v>
      </c>
      <c r="I18" s="148">
        <f>VLOOKUP(B18,$C$169:$E$181,3,0)</f>
        <v>4.4000000000000004</v>
      </c>
      <c r="J18" s="148">
        <f>VLOOKUP(B18,$C$154:$E$166,3,0)</f>
        <v>5.9</v>
      </c>
      <c r="K18" s="148">
        <f>VLOOKUP(B18,$C$139:$E$151,3,0)</f>
        <v>7.2</v>
      </c>
      <c r="L18" s="148">
        <f>VLOOKUP(B18,$C$124:$E$136,3,0)</f>
        <v>5</v>
      </c>
      <c r="M18" s="148">
        <f>VLOOKUP(B18,$C$109:$E$121,3,0)</f>
        <v>6.6000000000000014</v>
      </c>
      <c r="N18" s="152">
        <f>VLOOKUP(B18,$C$94:$E$106,3,0)</f>
        <v>11.899999999999999</v>
      </c>
    </row>
    <row r="19" spans="1:14" ht="15" customHeight="1" x14ac:dyDescent="0.25">
      <c r="B19" s="149" t="s">
        <v>25</v>
      </c>
      <c r="C19" s="150">
        <f>VLOOKUP(B19,$C$259:$E$271,3,0)</f>
        <v>2.9</v>
      </c>
      <c r="D19" s="150">
        <f>VLOOKUP(B19,$C$244:$E$256,3,0)</f>
        <v>3.1999999999999997</v>
      </c>
      <c r="E19" s="150">
        <f>VLOOKUP(B19,$C$229:$E$241,3,0)</f>
        <v>4.4000000000000004</v>
      </c>
      <c r="F19" s="150">
        <f>VLOOKUP(B19,$C$214:$E$226,3,0)</f>
        <v>2.9</v>
      </c>
      <c r="G19" s="150">
        <f>VLOOKUP(B19,$C$199:$E$211,3,0)</f>
        <v>3.4</v>
      </c>
      <c r="H19" s="150">
        <f>VLOOKUP(B19,$C$184:$E$196,3,0)</f>
        <v>2.8</v>
      </c>
      <c r="I19" s="150">
        <f>VLOOKUP(B19,$C$169:$E$181,3,0)</f>
        <v>5</v>
      </c>
      <c r="J19" s="150">
        <f>VLOOKUP(B19,$C$154:$E$166,3,0)</f>
        <v>4.5999999999999996</v>
      </c>
      <c r="K19" s="150">
        <f>VLOOKUP(B19,$C$139:$E$151,3,0)</f>
        <v>5.3</v>
      </c>
      <c r="L19" s="150">
        <f>VLOOKUP(B19,$C$124:$E$136,3,0)</f>
        <v>3.2000000000000028</v>
      </c>
      <c r="M19" s="150">
        <f>VLOOKUP(B19,$C$109:$E$121,3,0)</f>
        <v>2.8999999999999986</v>
      </c>
      <c r="N19" s="150">
        <f>VLOOKUP(B19,$C$94:$E$106,3,0)</f>
        <v>2.9000000000000021</v>
      </c>
    </row>
    <row r="20" spans="1:14" ht="15" customHeight="1" x14ac:dyDescent="0.25">
      <c r="B20" s="147" t="s">
        <v>72</v>
      </c>
      <c r="C20" s="148">
        <f>VLOOKUP(B20,$C$259:$E$271,3,0)</f>
        <v>2.5</v>
      </c>
      <c r="D20" s="148">
        <f>VLOOKUP(B20,$C$244:$E$256,3,0)</f>
        <v>2.5999999999999996</v>
      </c>
      <c r="E20" s="148">
        <f>VLOOKUP(B20,$C$229:$E$241,3,0)</f>
        <v>2.1</v>
      </c>
      <c r="F20" s="148">
        <f>VLOOKUP(B20,$C$214:$E$226,3,0)</f>
        <v>1.2</v>
      </c>
      <c r="G20" s="148">
        <f>VLOOKUP(B20,$C$199:$E$211,3,0)</f>
        <v>2.2999999999999998</v>
      </c>
      <c r="H20" s="148">
        <f>VLOOKUP(B20,$C$184:$E$196,3,0)</f>
        <v>7.1</v>
      </c>
      <c r="I20" s="148">
        <f>VLOOKUP(B20,$C$169:$E$181,3,0)</f>
        <v>2.6</v>
      </c>
      <c r="J20" s="148">
        <f>VLOOKUP(B20,$C$154:$E$166,3,0)</f>
        <v>4.4000000000000004</v>
      </c>
      <c r="K20" s="148">
        <f>VLOOKUP(B20,$C$139:$E$151,3,0)</f>
        <v>4.5999999999999996</v>
      </c>
      <c r="L20" s="148">
        <f>VLOOKUP(B20,$C$124:$E$136,3,0)</f>
        <v>2.8999999999999986</v>
      </c>
      <c r="M20" s="148">
        <f>VLOOKUP(B20,$C$109:$E$121,3,0)</f>
        <v>2.6000000000000014</v>
      </c>
      <c r="N20" s="152">
        <f>VLOOKUP(B20,$C$94:$E$106,3,0)</f>
        <v>1</v>
      </c>
    </row>
    <row r="21" spans="1:14" ht="15" customHeight="1" x14ac:dyDescent="0.25">
      <c r="B21" s="149" t="s">
        <v>128</v>
      </c>
      <c r="C21" s="150">
        <f>VLOOKUP(B21,$C$259:$E$271,3,0)</f>
        <v>2</v>
      </c>
      <c r="D21" s="150">
        <f>VLOOKUP(B21,$C$244:$E$256,3,0)</f>
        <v>2.2000000000000002</v>
      </c>
      <c r="E21" s="150">
        <f>VLOOKUP(B21,$C$229:$E$241,3,0)</f>
        <v>3.1</v>
      </c>
      <c r="F21" s="150">
        <f>VLOOKUP(B21,$C$214:$E$226,3,0)</f>
        <v>2.1</v>
      </c>
      <c r="G21" s="150">
        <f>VLOOKUP(B21,$C$199:$E$211,3,0)</f>
        <v>2.8</v>
      </c>
      <c r="H21" s="150">
        <f>VLOOKUP(B21,$C$184:$E$196,3,0)</f>
        <v>2.9</v>
      </c>
      <c r="I21" s="150">
        <f>VLOOKUP(B21,$C$169:$E$181,3,0)</f>
        <v>1.7</v>
      </c>
      <c r="J21" s="150">
        <f>VLOOKUP(B21,$C$154:$E$166,3,0)</f>
        <v>2.2999999999999998</v>
      </c>
      <c r="K21" s="150">
        <f>VLOOKUP(B21,$C$139:$E$151,3,0)</f>
        <v>3</v>
      </c>
      <c r="L21" s="150">
        <f>VLOOKUP(B21,$C$124:$E$136,3,0)</f>
        <v>2.1000000000000014</v>
      </c>
      <c r="M21" s="150">
        <f>VLOOKUP(B21,$C$109:$E$121,3,0)</f>
        <v>2</v>
      </c>
      <c r="N21" s="150">
        <f>VLOOKUP(B21,$C$94:$E$106,3,0)</f>
        <v>1.7999999999999972</v>
      </c>
    </row>
    <row r="22" spans="1:14" ht="15" customHeight="1" x14ac:dyDescent="0.25">
      <c r="B22" s="147" t="s">
        <v>73</v>
      </c>
      <c r="C22" s="148">
        <f>VLOOKUP(B22,$C$259:$E$271,3,0)</f>
        <v>1.3</v>
      </c>
      <c r="D22" s="148">
        <f>VLOOKUP(B22,$C$244:$E$256,3,0)</f>
        <v>1.8</v>
      </c>
      <c r="E22" s="148">
        <f>VLOOKUP(B22,$C$229:$E$241,3,0)</f>
        <v>2.6</v>
      </c>
      <c r="F22" s="148">
        <f>VLOOKUP(B22,$C$214:$E$226,3,0)</f>
        <v>2.6</v>
      </c>
      <c r="G22" s="148">
        <f>VLOOKUP(B22,$C$199:$E$211,3,0)</f>
        <v>2.5</v>
      </c>
      <c r="H22" s="148">
        <f>VLOOKUP(B22,$C$184:$E$196,3,0)</f>
        <v>2.8</v>
      </c>
      <c r="I22" s="148">
        <f>VLOOKUP(B22,$C$169:$E$181,3,0)</f>
        <v>3.8</v>
      </c>
      <c r="J22" s="148">
        <f>VLOOKUP(B22,$C$154:$E$166,3,0)</f>
        <v>2.5</v>
      </c>
      <c r="K22" s="148">
        <f>VLOOKUP(B22,$C$139:$E$151,3,0)</f>
        <v>3</v>
      </c>
      <c r="L22" s="148">
        <f>VLOOKUP(B22,$C$124:$E$136,3,0)</f>
        <v>2.7000000000000028</v>
      </c>
      <c r="M22" s="148">
        <f>VLOOKUP(B22,$C$109:$E$121,3,0)</f>
        <v>3.7999999999999972</v>
      </c>
      <c r="N22" s="152">
        <f>VLOOKUP(B22,$C$94:$E$106,3,0)</f>
        <v>5.7000000000000028</v>
      </c>
    </row>
    <row r="23" spans="1:14" ht="15" customHeight="1" x14ac:dyDescent="0.25">
      <c r="B23" s="149" t="s">
        <v>74</v>
      </c>
      <c r="C23" s="150">
        <f>VLOOKUP(B23,$C$259:$E$271,3,0)</f>
        <v>1.9</v>
      </c>
      <c r="D23" s="150">
        <f>VLOOKUP(B23,$C$244:$E$256,3,0)</f>
        <v>1.6</v>
      </c>
      <c r="E23" s="150">
        <f>VLOOKUP(B23,$C$229:$E$241,3,0)</f>
        <v>2.1</v>
      </c>
      <c r="F23" s="150">
        <f>VLOOKUP(B23,$C$214:$E$226,3,0)</f>
        <v>2.5</v>
      </c>
      <c r="G23" s="150">
        <f>VLOOKUP(B23,$C$199:$E$211,3,0)</f>
        <v>2.4</v>
      </c>
      <c r="H23" s="150">
        <f>VLOOKUP(B23,$C$184:$E$196,3,0)</f>
        <v>2.4</v>
      </c>
      <c r="I23" s="150">
        <f>VLOOKUP(B23,$C$169:$E$181,3,0)</f>
        <v>2.7</v>
      </c>
      <c r="J23" s="150">
        <f>VLOOKUP(B23,$C$154:$E$166,3,0)</f>
        <v>1.9</v>
      </c>
      <c r="K23" s="150">
        <f>VLOOKUP(B23,$C$139:$E$151,3,0)</f>
        <v>2</v>
      </c>
      <c r="L23" s="150">
        <f>VLOOKUP(B23,$C$124:$E$136,3,0)</f>
        <v>3.1999999999999993</v>
      </c>
      <c r="M23" s="150">
        <f>VLOOKUP(B23,$C$109:$E$121,3,0)</f>
        <v>3.8000000000000007</v>
      </c>
      <c r="N23" s="150">
        <f>VLOOKUP(B23,$C$94:$E$106,3,0)</f>
        <v>3.8999999999999986</v>
      </c>
    </row>
    <row r="24" spans="1:14" ht="15" customHeight="1" x14ac:dyDescent="0.25">
      <c r="B24" s="151"/>
      <c r="C24" s="152"/>
      <c r="D24" s="152"/>
      <c r="E24" s="152"/>
      <c r="F24" s="152"/>
      <c r="G24" s="152"/>
      <c r="H24" s="152"/>
      <c r="I24" s="152"/>
      <c r="J24" s="152"/>
      <c r="K24" s="152"/>
      <c r="L24" s="152"/>
      <c r="M24" s="152"/>
      <c r="N24" s="214"/>
    </row>
    <row r="25" spans="1:14" ht="15" customHeight="1" x14ac:dyDescent="0.25">
      <c r="A25" s="153"/>
      <c r="B25" s="124">
        <v>2024</v>
      </c>
      <c r="C25" s="124" t="s">
        <v>693</v>
      </c>
      <c r="D25" s="124" t="s">
        <v>694</v>
      </c>
      <c r="E25" s="124" t="s">
        <v>695</v>
      </c>
      <c r="F25" s="124" t="s">
        <v>696</v>
      </c>
      <c r="G25" s="124" t="s">
        <v>697</v>
      </c>
      <c r="H25" s="124" t="s">
        <v>698</v>
      </c>
      <c r="I25" s="124" t="s">
        <v>699</v>
      </c>
      <c r="J25" s="124" t="s">
        <v>700</v>
      </c>
      <c r="K25" s="124" t="s">
        <v>701</v>
      </c>
      <c r="L25" s="124" t="s">
        <v>702</v>
      </c>
      <c r="M25" s="124" t="s">
        <v>703</v>
      </c>
      <c r="N25" s="124" t="s">
        <v>704</v>
      </c>
    </row>
    <row r="26" spans="1:14" ht="15" customHeight="1" x14ac:dyDescent="0.25">
      <c r="B26" s="151" t="s">
        <v>68</v>
      </c>
      <c r="C26" s="152">
        <f>VLOOKUP(B26,$C$259:$E$271,2,0)</f>
        <v>20</v>
      </c>
      <c r="D26" s="152">
        <f>VLOOKUP(B26,$C$244:$E$256,2,0)</f>
        <v>15.5</v>
      </c>
      <c r="E26" s="152">
        <f>VLOOKUP(B26,$C$229:$E$241,2,0)</f>
        <v>25.1</v>
      </c>
      <c r="F26" s="152">
        <f>VLOOKUP(B26,$C$214:$E$226,2,0)</f>
        <v>22</v>
      </c>
      <c r="G26" s="152">
        <f>VLOOKUP(B26,$C$199:$E$211,2,0)</f>
        <v>26</v>
      </c>
      <c r="H26" s="152">
        <f>VLOOKUP(B26,$C$184:$E$196,2,0)</f>
        <v>29.9</v>
      </c>
      <c r="I26" s="152">
        <f>VLOOKUP(B26,$C$169:$E$181,2,0)</f>
        <v>26.7</v>
      </c>
      <c r="J26" s="152">
        <f>VLOOKUP(B26,$C$154:$E$166,2,0)</f>
        <v>27.8</v>
      </c>
      <c r="K26" s="152">
        <f>VLOOKUP(B26,$C$139:$E$151,2,0)</f>
        <v>33</v>
      </c>
      <c r="L26" s="152">
        <f>VLOOKUP(B26,$C$124:$E$136,2,0)</f>
        <v>34</v>
      </c>
      <c r="M26" s="152">
        <f>VLOOKUP(B26,$C$109:$E$121,2,0)</f>
        <v>37.399999999999977</v>
      </c>
      <c r="N26" s="152">
        <f>VLOOKUP(B26,$C$94:$E$106,2,0)</f>
        <v>45.100000000000023</v>
      </c>
    </row>
    <row r="27" spans="1:14" ht="15" customHeight="1" x14ac:dyDescent="0.25">
      <c r="B27" s="149" t="s">
        <v>69</v>
      </c>
      <c r="C27" s="150">
        <f>VLOOKUP(B27,$C$259:$E$271,2,0)</f>
        <v>7.6</v>
      </c>
      <c r="D27" s="150">
        <f>VLOOKUP(B27,$C$244:$E$256,2,0)</f>
        <v>4.5</v>
      </c>
      <c r="E27" s="150">
        <f>VLOOKUP(B27,$C$229:$E$241,2,0)</f>
        <v>10.7</v>
      </c>
      <c r="F27" s="150">
        <f>VLOOKUP(B27,$C$214:$E$226,2,0)</f>
        <v>10.4</v>
      </c>
      <c r="G27" s="150">
        <f>VLOOKUP(B27,$C$199:$E$211,2,0)</f>
        <v>11.3</v>
      </c>
      <c r="H27" s="150">
        <f>VLOOKUP(B27,$C$184:$E$196,2,0)</f>
        <v>12.2</v>
      </c>
      <c r="I27" s="150">
        <f>VLOOKUP(B27,$C$169:$E$181,2,0)</f>
        <v>12.2</v>
      </c>
      <c r="J27" s="150">
        <f>VLOOKUP(B27,$C$154:$E$166,2,0)</f>
        <v>14.1</v>
      </c>
      <c r="K27" s="150">
        <f>VLOOKUP(B27,$C$139:$E$151,2,0)</f>
        <v>16.600000000000001</v>
      </c>
      <c r="L27" s="150">
        <f>VLOOKUP(B27,$C$124:$E$136,2,0)</f>
        <v>16.400000000000006</v>
      </c>
      <c r="M27" s="150">
        <f>VLOOKUP(B27,$C$109:$E$121,2,0)</f>
        <v>17.400000000000006</v>
      </c>
      <c r="N27" s="150">
        <f>VLOOKUP(B27,$C$94:$E$106,2,0)</f>
        <v>19.199999999999989</v>
      </c>
    </row>
    <row r="28" spans="1:14" ht="15" customHeight="1" x14ac:dyDescent="0.25">
      <c r="B28" s="151" t="s">
        <v>70</v>
      </c>
      <c r="C28" s="152">
        <f>VLOOKUP(B28,$C$259:$E$271,2,0)</f>
        <v>1.6</v>
      </c>
      <c r="D28" s="152">
        <f>VLOOKUP(B28,$C$244:$E$256,2,0)</f>
        <v>1</v>
      </c>
      <c r="E28" s="152">
        <f>VLOOKUP(B28,$C$229:$E$241,2,0)</f>
        <v>1.5</v>
      </c>
      <c r="F28" s="152">
        <f>VLOOKUP(B28,$C$214:$E$226,2,0)</f>
        <v>1.7</v>
      </c>
      <c r="G28" s="152">
        <f>VLOOKUP(B28,$C$199:$E$211,2,0)</f>
        <v>1.9</v>
      </c>
      <c r="H28" s="152">
        <f>VLOOKUP(B28,$C$184:$E$196,2,0)</f>
        <v>2</v>
      </c>
      <c r="I28" s="152">
        <f>VLOOKUP(B28,$C$169:$E$181,2,0)</f>
        <v>2.1</v>
      </c>
      <c r="J28" s="152">
        <f>VLOOKUP(B28,$C$154:$E$166,2,0)</f>
        <v>5.3</v>
      </c>
      <c r="K28" s="152">
        <f>VLOOKUP(B28,$C$139:$E$151,2,0)</f>
        <v>10</v>
      </c>
      <c r="L28" s="152">
        <f>VLOOKUP(B28,$C$124:$E$136,2,0)</f>
        <v>3.5</v>
      </c>
      <c r="M28" s="152">
        <f>VLOOKUP(B28,$C$109:$E$121,2,0)</f>
        <v>3.9000000000000021</v>
      </c>
      <c r="N28" s="152">
        <f>VLOOKUP(B28,$C$94:$E$106,2,0)</f>
        <v>4</v>
      </c>
    </row>
    <row r="29" spans="1:14" ht="15" customHeight="1" x14ac:dyDescent="0.25">
      <c r="B29" s="149" t="s">
        <v>127</v>
      </c>
      <c r="C29" s="150">
        <f>VLOOKUP(B29,$C$259:$E$271,2,0)</f>
        <v>5.5</v>
      </c>
      <c r="D29" s="150">
        <f>VLOOKUP(B29,$C$244:$E$256,2,0)</f>
        <v>6.1999999999999993</v>
      </c>
      <c r="E29" s="150">
        <f>VLOOKUP(B29,$C$229:$E$241,2,0)</f>
        <v>9</v>
      </c>
      <c r="F29" s="150">
        <f>VLOOKUP(B29,$C$214:$E$226,2,0)</f>
        <v>6.3</v>
      </c>
      <c r="G29" s="150">
        <f>VLOOKUP(B29,$C$199:$E$211,2,0)</f>
        <v>7.9</v>
      </c>
      <c r="H29" s="150">
        <f>VLOOKUP(B29,$C$184:$E$196,2,0)</f>
        <v>10.3</v>
      </c>
      <c r="I29" s="150">
        <f>VLOOKUP(B29,$C$169:$E$181,2,0)</f>
        <v>6.2</v>
      </c>
      <c r="J29" s="150">
        <f>VLOOKUP(B29,$C$154:$E$166,2,0)</f>
        <v>8.1</v>
      </c>
      <c r="K29" s="150">
        <f>VLOOKUP(B29,$C$139:$E$151,2,0)</f>
        <v>3.4</v>
      </c>
      <c r="L29" s="150">
        <f>VLOOKUP(B29,$C$124:$E$136,2,0)</f>
        <v>7.2000000000000028</v>
      </c>
      <c r="M29" s="150">
        <f>VLOOKUP(B29,$C$109:$E$121,2,0)</f>
        <v>10.599999999999994</v>
      </c>
      <c r="N29" s="150">
        <f>VLOOKUP(B29,$C$94:$E$106,2,0)</f>
        <v>10.5</v>
      </c>
    </row>
    <row r="30" spans="1:14" ht="15" customHeight="1" x14ac:dyDescent="0.25">
      <c r="B30" s="151" t="s">
        <v>71</v>
      </c>
      <c r="C30" s="152">
        <f>VLOOKUP(B30,$C$259:$E$271,2,0)</f>
        <v>2.1</v>
      </c>
      <c r="D30" s="152">
        <f>VLOOKUP(B30,$C$244:$E$256,2,0)</f>
        <v>1.4</v>
      </c>
      <c r="E30" s="152">
        <f>VLOOKUP(B30,$C$229:$E$241,2,0)</f>
        <v>3</v>
      </c>
      <c r="F30" s="152">
        <f>VLOOKUP(B30,$C$214:$E$226,2,0)</f>
        <v>3.3</v>
      </c>
      <c r="G30" s="152">
        <f>VLOOKUP(B30,$C$199:$E$211,2,0)</f>
        <v>3.9</v>
      </c>
      <c r="H30" s="152">
        <f>VLOOKUP(B30,$C$184:$E$196,2,0)</f>
        <v>4.0999999999999996</v>
      </c>
      <c r="I30" s="152">
        <f>VLOOKUP(B30,$C$169:$E$181,2,0)</f>
        <v>3</v>
      </c>
      <c r="J30" s="152">
        <f>VLOOKUP(B30,$C$154:$E$166,2,0)</f>
        <v>3.5</v>
      </c>
      <c r="K30" s="152">
        <f>VLOOKUP(B30,$C$139:$E$151,2,0)</f>
        <v>2.9</v>
      </c>
      <c r="L30" s="152">
        <f>VLOOKUP(B30,$C$124:$E$136,2,0)</f>
        <v>4</v>
      </c>
      <c r="M30" s="152">
        <f>VLOOKUP(B30,$C$109:$E$121,2,0)</f>
        <v>4.0999999999999979</v>
      </c>
      <c r="N30" s="152">
        <f>VLOOKUP(B30,$C$94:$E$106,2,0)</f>
        <v>5.4000000000000057</v>
      </c>
    </row>
    <row r="31" spans="1:14" ht="15" customHeight="1" x14ac:dyDescent="0.25">
      <c r="B31" s="149" t="s">
        <v>25</v>
      </c>
      <c r="C31" s="150">
        <f>VLOOKUP(B31,$C$259:$E$271,2,0)</f>
        <v>2.1</v>
      </c>
      <c r="D31" s="150">
        <f>VLOOKUP(B31,$C$244:$E$256,2,0)</f>
        <v>2.3000000000000003</v>
      </c>
      <c r="E31" s="150">
        <f>VLOOKUP(B31,$C$229:$E$241,2,0)</f>
        <v>3.3</v>
      </c>
      <c r="F31" s="150">
        <f>VLOOKUP(B31,$C$214:$E$226,2,0)</f>
        <v>3.1</v>
      </c>
      <c r="G31" s="150">
        <f>VLOOKUP(B31,$C$199:$E$211,2,0)</f>
        <v>3.4</v>
      </c>
      <c r="H31" s="150">
        <f>VLOOKUP(B31,$C$184:$E$196,2,0)</f>
        <v>3.5</v>
      </c>
      <c r="I31" s="150">
        <f>VLOOKUP(B31,$C$169:$E$181,2,0)</f>
        <v>3.3</v>
      </c>
      <c r="J31" s="150">
        <f>VLOOKUP(B31,$C$154:$E$166,2,0)</f>
        <v>3.3</v>
      </c>
      <c r="K31" s="150">
        <f>VLOOKUP(B31,$C$139:$E$151,2,0)</f>
        <v>3.5</v>
      </c>
      <c r="L31" s="150">
        <f>VLOOKUP(B31,$C$124:$E$136,2,0)</f>
        <v>3.8000000000000007</v>
      </c>
      <c r="M31" s="150">
        <f>VLOOKUP(B31,$C$109:$E$121,2,0)</f>
        <v>4</v>
      </c>
      <c r="N31" s="150">
        <f>VLOOKUP(B31,$C$94:$E$106,2,0)</f>
        <v>2.6999999999999993</v>
      </c>
    </row>
    <row r="32" spans="1:14" ht="15" customHeight="1" x14ac:dyDescent="0.25">
      <c r="B32" s="151" t="s">
        <v>72</v>
      </c>
      <c r="C32" s="152">
        <f>VLOOKUP(B32,$C$259:$E$271,2,0)</f>
        <v>2.5</v>
      </c>
      <c r="D32" s="152">
        <f>VLOOKUP(B32,$C$244:$E$256,2,0)</f>
        <v>2.5999999999999996</v>
      </c>
      <c r="E32" s="152">
        <f>VLOOKUP(B32,$C$229:$E$241,2,0)</f>
        <v>2.6</v>
      </c>
      <c r="F32" s="152">
        <f>VLOOKUP(B32,$C$214:$E$226,2,0)</f>
        <v>2.6</v>
      </c>
      <c r="G32" s="152">
        <f>VLOOKUP(B32,$C$199:$E$211,2,0)</f>
        <v>3.1</v>
      </c>
      <c r="H32" s="152">
        <f>VLOOKUP(B32,$C$184:$E$196,2,0)</f>
        <v>3.1</v>
      </c>
      <c r="I32" s="152">
        <f>VLOOKUP(B32,$C$169:$E$181,2,0)</f>
        <v>2.6</v>
      </c>
      <c r="J32" s="152">
        <f>VLOOKUP(B32,$C$154:$E$166,2,0)</f>
        <v>3.1</v>
      </c>
      <c r="K32" s="152">
        <f>VLOOKUP(B32,$C$139:$E$151,2,0)</f>
        <v>3.3</v>
      </c>
      <c r="L32" s="152">
        <f>VLOOKUP(B32,$C$124:$E$136,2,0)</f>
        <v>3.1999999999999993</v>
      </c>
      <c r="M32" s="152">
        <f>VLOOKUP(B32,$C$109:$E$121,2,0)</f>
        <v>3</v>
      </c>
      <c r="N32" s="152">
        <f>VLOOKUP(B32,$C$94:$E$106,2,0)</f>
        <v>2.5999999999999979</v>
      </c>
    </row>
    <row r="33" spans="1:32" ht="15" customHeight="1" x14ac:dyDescent="0.25">
      <c r="B33" s="149" t="s">
        <v>128</v>
      </c>
      <c r="C33" s="150">
        <f>VLOOKUP(B33,$C$259:$E$271,2,0)</f>
        <v>2.6</v>
      </c>
      <c r="D33" s="150">
        <f>VLOOKUP(B33,$C$244:$E$256,2,0)</f>
        <v>2.8000000000000003</v>
      </c>
      <c r="E33" s="150">
        <f>VLOOKUP(B33,$C$229:$E$241,2,0)</f>
        <v>3.4</v>
      </c>
      <c r="F33" s="150">
        <f>VLOOKUP(B33,$C$214:$E$226,2,0)</f>
        <v>2.8</v>
      </c>
      <c r="G33" s="150">
        <f>VLOOKUP(B33,$C$199:$E$211,2,0)</f>
        <v>2.7</v>
      </c>
      <c r="H33" s="150">
        <f>VLOOKUP(B33,$C$184:$E$196,2,0)</f>
        <v>3.1</v>
      </c>
      <c r="I33" s="150">
        <f>VLOOKUP(B33,$C$169:$E$181,2,0)</f>
        <v>2.2999999999999998</v>
      </c>
      <c r="J33" s="150">
        <f>VLOOKUP(B33,$C$154:$E$166,2,0)</f>
        <v>2.2999999999999998</v>
      </c>
      <c r="K33" s="150">
        <f>VLOOKUP(B33,$C$139:$E$151,2,0)</f>
        <v>2.2000000000000002</v>
      </c>
      <c r="L33" s="150">
        <f>VLOOKUP(B33,$C$124:$E$136,2,0)</f>
        <v>2.1000000000000014</v>
      </c>
      <c r="M33" s="150">
        <f>VLOOKUP(B33,$C$109:$E$121,2,0)</f>
        <v>2.1999999999999993</v>
      </c>
      <c r="N33" s="150">
        <f>VLOOKUP(B33,$C$94:$E$106,2,0)</f>
        <v>2.6000000000000014</v>
      </c>
    </row>
    <row r="34" spans="1:32" ht="15" customHeight="1" x14ac:dyDescent="0.25">
      <c r="B34" s="151" t="s">
        <v>73</v>
      </c>
      <c r="C34" s="152">
        <f>VLOOKUP(B34,$C$259:$E$271,2,0)</f>
        <v>1.1000000000000001</v>
      </c>
      <c r="D34" s="152">
        <f>VLOOKUP(B34,$C$244:$E$256,2,0)</f>
        <v>0.79999999999999982</v>
      </c>
      <c r="E34" s="152">
        <f>VLOOKUP(B34,$C$229:$E$241,2,0)</f>
        <v>1.7</v>
      </c>
      <c r="F34" s="152">
        <f>VLOOKUP(B34,$C$214:$E$226,2,0)</f>
        <v>1.3</v>
      </c>
      <c r="G34" s="152">
        <f>VLOOKUP(B34,$C$199:$E$211,2,0)</f>
        <v>1.5</v>
      </c>
      <c r="H34" s="152">
        <f>VLOOKUP(B34,$C$184:$E$196,2,0)</f>
        <v>1.8</v>
      </c>
      <c r="I34" s="152">
        <f>VLOOKUP(B34,$C$169:$E$181,2,0)</f>
        <v>1.1000000000000001</v>
      </c>
      <c r="J34" s="152">
        <f>VLOOKUP(B34,$C$154:$E$166,2,0)</f>
        <v>1.5</v>
      </c>
      <c r="K34" s="152">
        <f>VLOOKUP(B34,$C$139:$E$151,2,0)</f>
        <v>2</v>
      </c>
      <c r="L34" s="152">
        <f>VLOOKUP(B34,$C$124:$E$136,2,0)</f>
        <v>1.5</v>
      </c>
      <c r="M34" s="152">
        <f>VLOOKUP(B34,$C$109:$E$121,2,0)</f>
        <v>1.8000000000000007</v>
      </c>
      <c r="N34" s="152">
        <f>VLOOKUP(B34,$C$94:$E$106,2,0)</f>
        <v>3.3000000000000007</v>
      </c>
    </row>
    <row r="35" spans="1:32" ht="15" customHeight="1" x14ac:dyDescent="0.25">
      <c r="B35" s="149" t="s">
        <v>74</v>
      </c>
      <c r="C35" s="150">
        <f>VLOOKUP(B35,$C$259:$E$271,2,0)</f>
        <v>1.2</v>
      </c>
      <c r="D35" s="150">
        <f>VLOOKUP(B35,$C$244:$E$256,2,0)</f>
        <v>0.5</v>
      </c>
      <c r="E35" s="150">
        <f>VLOOKUP(B35,$C$229:$E$241,2,0)</f>
        <v>1.1000000000000001</v>
      </c>
      <c r="F35" s="150">
        <f>VLOOKUP(B35,$C$214:$E$226,2,0)</f>
        <v>1</v>
      </c>
      <c r="G35" s="150">
        <f>VLOOKUP(B35,$C$199:$E$211,2,0)</f>
        <v>1.2</v>
      </c>
      <c r="H35" s="150">
        <f>VLOOKUP(B35,$C$184:$E$196,2,0)</f>
        <v>1.2</v>
      </c>
      <c r="I35" s="150">
        <f>VLOOKUP(B35,$C$169:$E$181,2,0)</f>
        <v>1.7</v>
      </c>
      <c r="J35" s="150">
        <f>VLOOKUP(B35,$C$154:$E$166,2,0)</f>
        <v>0.9</v>
      </c>
      <c r="K35" s="150">
        <f>VLOOKUP(B35,$C$139:$E$151,2,0)</f>
        <v>1.9</v>
      </c>
      <c r="L35" s="150">
        <f>VLOOKUP(B35,$C$124:$E$136,2,0)</f>
        <v>1.8999999999999986</v>
      </c>
      <c r="M35" s="150">
        <f>VLOOKUP(B35,$C$109:$E$121,2,0)</f>
        <v>2.1000000000000014</v>
      </c>
      <c r="N35" s="150">
        <f>VLOOKUP(B35,$C$94:$E$106,2,0)</f>
        <v>4.1000000000000014</v>
      </c>
    </row>
    <row r="36" spans="1:32" ht="15" customHeight="1" x14ac:dyDescent="0.25">
      <c r="B36" s="151"/>
      <c r="C36" s="214"/>
      <c r="D36" s="214"/>
      <c r="E36" s="214"/>
      <c r="F36" s="214"/>
      <c r="G36" s="214"/>
      <c r="H36" s="214"/>
      <c r="I36" s="214"/>
      <c r="J36" s="214"/>
      <c r="K36" s="214"/>
      <c r="L36" s="214"/>
      <c r="M36" s="214"/>
      <c r="N36" s="214"/>
    </row>
    <row r="37" spans="1:32" ht="14" customHeight="1" x14ac:dyDescent="0.25">
      <c r="A37" s="154"/>
      <c r="B37" s="265" t="s">
        <v>1026</v>
      </c>
      <c r="J37" s="265" t="s">
        <v>1027</v>
      </c>
    </row>
    <row r="38" spans="1:32" s="216" customFormat="1" ht="14" customHeight="1" x14ac:dyDescent="0.25">
      <c r="A38" s="154"/>
      <c r="B38" s="36" t="s">
        <v>582</v>
      </c>
      <c r="C38" s="36" t="s">
        <v>335</v>
      </c>
      <c r="D38" s="140">
        <v>45748</v>
      </c>
      <c r="E38" s="140">
        <v>46113</v>
      </c>
      <c r="F38" s="36" t="s">
        <v>34</v>
      </c>
      <c r="G38" s="36" t="s">
        <v>941</v>
      </c>
      <c r="H38" s="36" t="s">
        <v>942</v>
      </c>
      <c r="J38" s="36" t="s">
        <v>582</v>
      </c>
      <c r="K38" s="36" t="s">
        <v>335</v>
      </c>
      <c r="L38" s="36" t="s">
        <v>1028</v>
      </c>
      <c r="M38" s="36" t="s">
        <v>1029</v>
      </c>
      <c r="N38" s="36" t="s">
        <v>34</v>
      </c>
      <c r="O38" s="36" t="s">
        <v>908</v>
      </c>
      <c r="P38" s="36" t="s">
        <v>909</v>
      </c>
      <c r="R38" s="141"/>
      <c r="S38" s="141"/>
      <c r="T38" s="141"/>
      <c r="U38" s="141"/>
      <c r="V38" s="142"/>
      <c r="W38" s="142"/>
      <c r="X38" s="142"/>
      <c r="AA38" s="12"/>
      <c r="AB38" s="12"/>
      <c r="AC38" s="12"/>
      <c r="AD38" s="13"/>
      <c r="AE38" s="13"/>
      <c r="AF38" s="13"/>
    </row>
    <row r="39" spans="1:32" ht="14" customHeight="1" x14ac:dyDescent="0.25">
      <c r="A39" s="151"/>
      <c r="B39" s="8">
        <v>1</v>
      </c>
      <c r="C39" s="8" t="s">
        <v>17</v>
      </c>
      <c r="D39" s="8">
        <f>L39-L53</f>
        <v>31.599999999999994</v>
      </c>
      <c r="E39" s="8">
        <f>M39-M53</f>
        <v>41.900000000000006</v>
      </c>
      <c r="F39" s="36">
        <f>E39/D39-1</f>
        <v>0.325949367088608</v>
      </c>
      <c r="G39" s="36">
        <f t="shared" ref="G39:G49" si="0">D39/D$63</f>
        <v>0.33298208640674398</v>
      </c>
      <c r="H39" s="36">
        <f t="shared" ref="H39:H49" si="1">E39/E$63</f>
        <v>0.38195077484047413</v>
      </c>
      <c r="I39" s="9"/>
      <c r="J39" s="8">
        <v>1</v>
      </c>
      <c r="K39" s="8" t="s">
        <v>17</v>
      </c>
      <c r="L39" s="8">
        <v>118</v>
      </c>
      <c r="M39" s="8">
        <v>141.4</v>
      </c>
      <c r="N39" s="36">
        <f>M39/L39-1</f>
        <v>0.19830508474576281</v>
      </c>
      <c r="O39" s="36">
        <f t="shared" ref="O39:O49" si="2">L39/L$63</f>
        <v>0.52631578947368429</v>
      </c>
      <c r="P39" s="36">
        <f t="shared" ref="P39:P49" si="3">M39/M$63</f>
        <v>0.57808667211774334</v>
      </c>
      <c r="R39" s="12"/>
      <c r="S39" s="12"/>
      <c r="T39" s="12"/>
      <c r="U39" s="12"/>
      <c r="V39" s="12"/>
      <c r="W39" s="13"/>
      <c r="X39" s="13"/>
      <c r="Y39" s="13"/>
    </row>
    <row r="40" spans="1:32" ht="14" customHeight="1" x14ac:dyDescent="0.25">
      <c r="A40" s="151"/>
      <c r="B40" s="8">
        <v>2</v>
      </c>
      <c r="C40" s="8" t="s">
        <v>15</v>
      </c>
      <c r="D40" s="8">
        <f t="shared" ref="D40:E40" si="4">L40-L54</f>
        <v>14.899999999999999</v>
      </c>
      <c r="E40" s="8">
        <f t="shared" si="4"/>
        <v>16.5</v>
      </c>
      <c r="F40" s="36">
        <f t="shared" ref="F40:F49" si="5">E40/D40-1</f>
        <v>0.10738255033557054</v>
      </c>
      <c r="G40" s="36">
        <f t="shared" si="0"/>
        <v>0.1570073761854584</v>
      </c>
      <c r="H40" s="36">
        <f t="shared" si="1"/>
        <v>0.15041020966271651</v>
      </c>
      <c r="I40" s="9"/>
      <c r="J40" s="8">
        <v>2</v>
      </c>
      <c r="K40" s="8" t="s">
        <v>15</v>
      </c>
      <c r="L40" s="8">
        <v>51.3</v>
      </c>
      <c r="M40" s="8">
        <v>50</v>
      </c>
      <c r="N40" s="36">
        <f t="shared" ref="N40:N48" si="6">M40/L40-1</f>
        <v>-2.5341130604288442E-2</v>
      </c>
      <c r="O40" s="36">
        <f t="shared" si="2"/>
        <v>0.2288135593220339</v>
      </c>
      <c r="P40" s="36">
        <f t="shared" si="3"/>
        <v>0.20441537203597712</v>
      </c>
      <c r="R40" s="12"/>
      <c r="S40" s="12"/>
      <c r="T40" s="12"/>
      <c r="U40" s="12"/>
      <c r="V40" s="12"/>
      <c r="W40" s="13"/>
      <c r="X40" s="13"/>
      <c r="Y40" s="13"/>
    </row>
    <row r="41" spans="1:32" ht="14" customHeight="1" x14ac:dyDescent="0.25">
      <c r="A41" s="151"/>
      <c r="B41" s="8">
        <v>3</v>
      </c>
      <c r="C41" s="8" t="s">
        <v>20</v>
      </c>
      <c r="D41" s="8">
        <f t="shared" ref="D41:E41" si="7">L41-L55</f>
        <v>7.1999999999999993</v>
      </c>
      <c r="E41" s="8">
        <f t="shared" si="7"/>
        <v>8.3000000000000007</v>
      </c>
      <c r="F41" s="36">
        <f t="shared" si="5"/>
        <v>0.1527777777777779</v>
      </c>
      <c r="G41" s="36">
        <f t="shared" si="0"/>
        <v>7.5869336143308763E-2</v>
      </c>
      <c r="H41" s="36">
        <f t="shared" si="1"/>
        <v>7.5660893345487715E-2</v>
      </c>
      <c r="I41" s="9"/>
      <c r="J41" s="8">
        <v>3</v>
      </c>
      <c r="K41" s="8" t="s">
        <v>20</v>
      </c>
      <c r="L41" s="8">
        <v>29.5</v>
      </c>
      <c r="M41" s="8">
        <v>32</v>
      </c>
      <c r="N41" s="36">
        <f t="shared" si="6"/>
        <v>8.4745762711864403E-2</v>
      </c>
      <c r="O41" s="36">
        <f t="shared" si="2"/>
        <v>0.13157894736842107</v>
      </c>
      <c r="P41" s="36">
        <f t="shared" si="3"/>
        <v>0.13082583810302534</v>
      </c>
      <c r="R41" s="12"/>
      <c r="S41" s="12"/>
      <c r="T41" s="12"/>
      <c r="U41" s="12"/>
      <c r="V41" s="12"/>
      <c r="W41" s="13"/>
      <c r="X41" s="13"/>
      <c r="Y41" s="13"/>
    </row>
    <row r="42" spans="1:32" ht="14" customHeight="1" x14ac:dyDescent="0.25">
      <c r="A42" s="151"/>
      <c r="B42" s="8">
        <v>4</v>
      </c>
      <c r="C42" s="8" t="s">
        <v>21</v>
      </c>
      <c r="D42" s="8">
        <f t="shared" ref="D42:E42" si="8">L42-L56</f>
        <v>4.1999999999999993</v>
      </c>
      <c r="E42" s="8">
        <f t="shared" si="8"/>
        <v>6.5000000000000018</v>
      </c>
      <c r="F42" s="36">
        <f t="shared" si="5"/>
        <v>0.54761904761904834</v>
      </c>
      <c r="G42" s="36">
        <f t="shared" si="0"/>
        <v>4.4257112750263436E-2</v>
      </c>
      <c r="H42" s="36">
        <f t="shared" si="1"/>
        <v>5.9252506836827736E-2</v>
      </c>
      <c r="I42" s="9"/>
      <c r="J42" s="8">
        <v>4</v>
      </c>
      <c r="K42" s="8" t="s">
        <v>21</v>
      </c>
      <c r="L42" s="8">
        <v>13</v>
      </c>
      <c r="M42" s="8">
        <v>18.100000000000001</v>
      </c>
      <c r="N42" s="36">
        <f t="shared" si="6"/>
        <v>0.39230769230769247</v>
      </c>
      <c r="O42" s="36">
        <f t="shared" si="2"/>
        <v>5.7983942908117758E-2</v>
      </c>
      <c r="P42" s="36">
        <f t="shared" si="3"/>
        <v>7.3998364677023726E-2</v>
      </c>
      <c r="R42" s="12"/>
      <c r="S42" s="12"/>
      <c r="T42" s="12"/>
      <c r="U42" s="12"/>
      <c r="V42" s="12"/>
      <c r="W42" s="13"/>
      <c r="X42" s="13"/>
      <c r="Y42" s="13"/>
    </row>
    <row r="43" spans="1:32" ht="14" customHeight="1" x14ac:dyDescent="0.25">
      <c r="A43" s="151"/>
      <c r="B43" s="8">
        <v>5</v>
      </c>
      <c r="C43" s="8" t="s">
        <v>22</v>
      </c>
      <c r="D43" s="8">
        <f t="shared" ref="D43:E43" si="9">L43-L57</f>
        <v>3.9000000000000004</v>
      </c>
      <c r="E43" s="8">
        <f t="shared" si="9"/>
        <v>5.4</v>
      </c>
      <c r="F43" s="36">
        <f t="shared" si="5"/>
        <v>0.38461538461538458</v>
      </c>
      <c r="G43" s="36">
        <f t="shared" si="0"/>
        <v>4.1095890410958916E-2</v>
      </c>
      <c r="H43" s="36">
        <f t="shared" si="1"/>
        <v>4.9225159525979952E-2</v>
      </c>
      <c r="I43" s="9"/>
      <c r="J43" s="8">
        <v>5</v>
      </c>
      <c r="K43" s="8" t="s">
        <v>22</v>
      </c>
      <c r="L43" s="8">
        <v>12</v>
      </c>
      <c r="M43" s="8">
        <v>15.6</v>
      </c>
      <c r="N43" s="36">
        <f t="shared" si="6"/>
        <v>0.30000000000000004</v>
      </c>
      <c r="O43" s="36">
        <f t="shared" si="2"/>
        <v>5.352363960749331E-2</v>
      </c>
      <c r="P43" s="36">
        <f t="shared" si="3"/>
        <v>6.377759607522486E-2</v>
      </c>
      <c r="R43" s="12"/>
      <c r="S43" s="12"/>
      <c r="T43" s="12"/>
      <c r="U43" s="12"/>
      <c r="V43" s="12"/>
      <c r="W43" s="13"/>
      <c r="X43" s="13"/>
      <c r="Y43" s="13"/>
    </row>
    <row r="44" spans="1:32" ht="14" customHeight="1" x14ac:dyDescent="0.25">
      <c r="A44" s="151"/>
      <c r="B44" s="8">
        <v>6</v>
      </c>
      <c r="C44" s="8" t="s">
        <v>18</v>
      </c>
      <c r="D44" s="8">
        <f t="shared" ref="D44:E44" si="10">L44-L58</f>
        <v>3.8000000000000007</v>
      </c>
      <c r="E44" s="8">
        <f t="shared" si="10"/>
        <v>2.9000000000000004</v>
      </c>
      <c r="F44" s="36">
        <f t="shared" si="5"/>
        <v>-0.23684210526315796</v>
      </c>
      <c r="G44" s="36">
        <f t="shared" si="0"/>
        <v>4.0042149631190745E-2</v>
      </c>
      <c r="H44" s="36">
        <f t="shared" si="1"/>
        <v>2.6435733819507753E-2</v>
      </c>
      <c r="I44" s="9"/>
      <c r="J44" s="8">
        <v>6</v>
      </c>
      <c r="K44" s="8" t="s">
        <v>18</v>
      </c>
      <c r="L44" s="8">
        <v>12.5</v>
      </c>
      <c r="M44" s="8">
        <v>12</v>
      </c>
      <c r="N44" s="36">
        <f t="shared" si="6"/>
        <v>-4.0000000000000036E-2</v>
      </c>
      <c r="O44" s="36">
        <f t="shared" si="2"/>
        <v>5.5753791257805531E-2</v>
      </c>
      <c r="P44" s="36">
        <f t="shared" si="3"/>
        <v>4.9059689288634509E-2</v>
      </c>
      <c r="R44" s="12"/>
      <c r="S44" s="12"/>
      <c r="T44" s="12"/>
      <c r="U44" s="12"/>
      <c r="V44" s="12"/>
      <c r="W44" s="13"/>
      <c r="X44" s="13"/>
      <c r="Y44" s="13"/>
    </row>
    <row r="45" spans="1:32" ht="14" customHeight="1" x14ac:dyDescent="0.25">
      <c r="A45" s="151"/>
      <c r="B45" s="8">
        <v>7</v>
      </c>
      <c r="C45" s="8" t="s">
        <v>25</v>
      </c>
      <c r="D45" s="8">
        <f t="shared" ref="D45:E45" si="11">L45-L59</f>
        <v>3.3000000000000007</v>
      </c>
      <c r="E45" s="8">
        <f t="shared" si="11"/>
        <v>3.3000000000000007</v>
      </c>
      <c r="F45" s="36">
        <f t="shared" si="5"/>
        <v>0</v>
      </c>
      <c r="G45" s="36">
        <f t="shared" si="0"/>
        <v>3.4773445732349854E-2</v>
      </c>
      <c r="H45" s="36">
        <f t="shared" si="1"/>
        <v>3.008204193254331E-2</v>
      </c>
      <c r="I45" s="9"/>
      <c r="J45" s="8">
        <v>7</v>
      </c>
      <c r="K45" s="8" t="s">
        <v>25</v>
      </c>
      <c r="L45" s="8">
        <v>13.4</v>
      </c>
      <c r="M45" s="8">
        <v>12.3</v>
      </c>
      <c r="N45" s="36">
        <f t="shared" si="6"/>
        <v>-8.2089552238805985E-2</v>
      </c>
      <c r="O45" s="36">
        <f t="shared" si="2"/>
        <v>5.9768064228367536E-2</v>
      </c>
      <c r="P45" s="36">
        <f t="shared" si="3"/>
        <v>5.0286181520850369E-2</v>
      </c>
      <c r="R45" s="12"/>
      <c r="S45" s="12"/>
      <c r="T45" s="12"/>
      <c r="U45" s="12"/>
      <c r="V45" s="12"/>
      <c r="W45" s="13"/>
      <c r="X45" s="13"/>
      <c r="Y45" s="13"/>
    </row>
    <row r="46" spans="1:32" ht="14" customHeight="1" x14ac:dyDescent="0.25">
      <c r="A46" s="151"/>
      <c r="B46" s="8">
        <v>8</v>
      </c>
      <c r="C46" s="8" t="s">
        <v>32</v>
      </c>
      <c r="D46" s="8">
        <f t="shared" ref="D46:E46" si="12">L46-L60</f>
        <v>2.4000000000000004</v>
      </c>
      <c r="E46" s="8">
        <f t="shared" si="12"/>
        <v>4</v>
      </c>
      <c r="F46" s="36">
        <f t="shared" si="5"/>
        <v>0.66666666666666652</v>
      </c>
      <c r="G46" s="36">
        <f t="shared" si="0"/>
        <v>2.5289778714436259E-2</v>
      </c>
      <c r="H46" s="36">
        <f t="shared" si="1"/>
        <v>3.6463081130355519E-2</v>
      </c>
      <c r="I46" s="9"/>
      <c r="J46" s="8">
        <v>8</v>
      </c>
      <c r="K46" s="8" t="s">
        <v>32</v>
      </c>
      <c r="L46" s="8">
        <v>8.8000000000000007</v>
      </c>
      <c r="M46" s="8">
        <v>11.5</v>
      </c>
      <c r="N46" s="36">
        <f t="shared" si="6"/>
        <v>0.30681818181818166</v>
      </c>
      <c r="O46" s="36">
        <f t="shared" si="2"/>
        <v>3.9250669045495096E-2</v>
      </c>
      <c r="P46" s="36">
        <f t="shared" si="3"/>
        <v>4.7015535568274737E-2</v>
      </c>
      <c r="R46" s="12"/>
      <c r="S46" s="12"/>
      <c r="T46" s="12"/>
      <c r="U46" s="12"/>
      <c r="V46" s="12"/>
      <c r="W46" s="13"/>
      <c r="X46" s="13"/>
      <c r="Y46" s="13"/>
    </row>
    <row r="47" spans="1:32" ht="14" customHeight="1" x14ac:dyDescent="0.25">
      <c r="A47" s="151"/>
      <c r="B47" s="8">
        <v>9</v>
      </c>
      <c r="C47" s="8" t="s">
        <v>35</v>
      </c>
      <c r="D47" s="8">
        <f t="shared" ref="D47:E47" si="13">L47-L61</f>
        <v>1.8999999999999995</v>
      </c>
      <c r="E47" s="8">
        <f t="shared" si="13"/>
        <v>2.8000000000000007</v>
      </c>
      <c r="F47" s="36">
        <f t="shared" si="5"/>
        <v>0.4736842105263166</v>
      </c>
      <c r="G47" s="36">
        <f t="shared" si="0"/>
        <v>2.0021074815595362E-2</v>
      </c>
      <c r="H47" s="36">
        <f t="shared" si="1"/>
        <v>2.5524156791248871E-2</v>
      </c>
      <c r="I47" s="9"/>
      <c r="J47" s="8">
        <v>9</v>
      </c>
      <c r="K47" s="8" t="s">
        <v>35</v>
      </c>
      <c r="L47" s="8">
        <v>6.8</v>
      </c>
      <c r="M47" s="8">
        <v>9.3000000000000007</v>
      </c>
      <c r="N47" s="36">
        <f t="shared" si="6"/>
        <v>0.36764705882352966</v>
      </c>
      <c r="O47" s="36">
        <f t="shared" si="2"/>
        <v>3.0330062444246211E-2</v>
      </c>
      <c r="P47" s="36">
        <f t="shared" si="3"/>
        <v>3.8021259198691745E-2</v>
      </c>
      <c r="R47" s="12"/>
      <c r="S47" s="12"/>
      <c r="T47" s="12"/>
      <c r="U47" s="12"/>
      <c r="V47" s="12"/>
      <c r="W47" s="13"/>
      <c r="X47" s="13"/>
      <c r="Y47" s="13"/>
    </row>
    <row r="48" spans="1:32" ht="14" customHeight="1" x14ac:dyDescent="0.25">
      <c r="A48" s="151"/>
      <c r="B48" s="8"/>
      <c r="C48" s="8" t="s">
        <v>1030</v>
      </c>
      <c r="D48" s="8">
        <f t="shared" ref="D48:E48" si="14">L48-L62</f>
        <v>12.400000000000034</v>
      </c>
      <c r="E48" s="8">
        <f t="shared" si="14"/>
        <v>16.499999999999915</v>
      </c>
      <c r="F48" s="36">
        <f t="shared" si="5"/>
        <v>0.33064516129031207</v>
      </c>
      <c r="G48" s="36">
        <f t="shared" si="0"/>
        <v>0.13066385669125435</v>
      </c>
      <c r="H48" s="36">
        <f t="shared" si="1"/>
        <v>0.15041020966271573</v>
      </c>
      <c r="I48" s="9"/>
      <c r="J48" s="8"/>
      <c r="K48" s="8" t="s">
        <v>1030</v>
      </c>
      <c r="L48" s="8">
        <f>L49-SUM(L39:L47)</f>
        <v>44.5</v>
      </c>
      <c r="M48" s="8">
        <f>M49-SUM(M39:M47)</f>
        <v>50.499999999999943</v>
      </c>
      <c r="N48" s="36">
        <f t="shared" si="6"/>
        <v>0.13483146067415608</v>
      </c>
      <c r="O48" s="36">
        <f t="shared" si="2"/>
        <v>0.19848349687778771</v>
      </c>
      <c r="P48" s="36">
        <f t="shared" si="3"/>
        <v>0.20645952575633664</v>
      </c>
      <c r="R48" s="12"/>
      <c r="S48" s="12"/>
      <c r="T48" s="12"/>
      <c r="U48" s="12"/>
      <c r="V48" s="12"/>
      <c r="W48" s="13"/>
      <c r="X48" s="13"/>
      <c r="Y48" s="13"/>
    </row>
    <row r="49" spans="1:32" ht="14" customHeight="1" x14ac:dyDescent="0.25">
      <c r="A49" s="151"/>
      <c r="B49" s="8"/>
      <c r="C49" s="8" t="s">
        <v>1031</v>
      </c>
      <c r="D49" s="8">
        <f t="shared" ref="D49:E49" si="15">L49-L63</f>
        <v>85.600000000000023</v>
      </c>
      <c r="E49" s="8">
        <f t="shared" si="15"/>
        <v>108.1</v>
      </c>
      <c r="F49" s="36">
        <f t="shared" si="5"/>
        <v>0.26285046728971917</v>
      </c>
      <c r="G49" s="36">
        <f t="shared" si="0"/>
        <v>0.90200210748155996</v>
      </c>
      <c r="H49" s="36">
        <f t="shared" si="1"/>
        <v>0.98541476754785784</v>
      </c>
      <c r="I49" s="9"/>
      <c r="J49" s="8"/>
      <c r="K49" s="8" t="s">
        <v>1031</v>
      </c>
      <c r="L49" s="8">
        <v>309.8</v>
      </c>
      <c r="M49" s="8">
        <v>352.7</v>
      </c>
      <c r="N49" s="36">
        <f>M49/L49-1</f>
        <v>0.13847643641058749</v>
      </c>
      <c r="O49" s="36">
        <f t="shared" si="2"/>
        <v>1.3818019625334523</v>
      </c>
      <c r="P49" s="36">
        <f t="shared" si="3"/>
        <v>1.4419460343417825</v>
      </c>
      <c r="R49" s="12"/>
      <c r="S49" s="12"/>
      <c r="T49" s="12"/>
      <c r="U49" s="12"/>
      <c r="V49" s="12"/>
      <c r="W49" s="13"/>
      <c r="X49" s="13"/>
      <c r="Y49" s="13"/>
    </row>
    <row r="50" spans="1:32" ht="15" customHeight="1" x14ac:dyDescent="0.25">
      <c r="A50" s="6"/>
      <c r="B50" s="9"/>
    </row>
    <row r="51" spans="1:32" ht="14" customHeight="1" x14ac:dyDescent="0.25">
      <c r="A51" s="154"/>
      <c r="B51" s="265" t="s">
        <v>960</v>
      </c>
      <c r="J51" s="265" t="s">
        <v>961</v>
      </c>
    </row>
    <row r="52" spans="1:32" s="216" customFormat="1" ht="14" customHeight="1" x14ac:dyDescent="0.25">
      <c r="A52" s="154"/>
      <c r="B52" s="36" t="s">
        <v>582</v>
      </c>
      <c r="C52" s="36" t="s">
        <v>335</v>
      </c>
      <c r="D52" s="140">
        <v>45717</v>
      </c>
      <c r="E52" s="140">
        <v>46082</v>
      </c>
      <c r="F52" s="36" t="s">
        <v>34</v>
      </c>
      <c r="G52" s="36" t="s">
        <v>941</v>
      </c>
      <c r="H52" s="36" t="s">
        <v>942</v>
      </c>
      <c r="J52" s="36" t="s">
        <v>582</v>
      </c>
      <c r="K52" s="36" t="s">
        <v>335</v>
      </c>
      <c r="L52" s="36" t="s">
        <v>962</v>
      </c>
      <c r="M52" s="36" t="s">
        <v>963</v>
      </c>
      <c r="N52" s="36" t="s">
        <v>34</v>
      </c>
      <c r="O52" s="36" t="s">
        <v>908</v>
      </c>
      <c r="P52" s="36" t="s">
        <v>909</v>
      </c>
      <c r="R52" s="141"/>
      <c r="S52" s="141"/>
      <c r="T52" s="141"/>
      <c r="U52" s="141"/>
      <c r="V52" s="142"/>
      <c r="W52" s="142"/>
      <c r="X52" s="142"/>
      <c r="AA52" s="12"/>
      <c r="AB52" s="12"/>
      <c r="AC52" s="12"/>
      <c r="AD52" s="13"/>
      <c r="AE52" s="13"/>
      <c r="AF52" s="13"/>
    </row>
    <row r="53" spans="1:32" ht="14" customHeight="1" x14ac:dyDescent="0.25">
      <c r="A53" s="151"/>
      <c r="B53" s="8">
        <v>1</v>
      </c>
      <c r="C53" s="8" t="s">
        <v>17</v>
      </c>
      <c r="D53" s="8">
        <v>36.400000000000006</v>
      </c>
      <c r="E53" s="8">
        <v>42.6</v>
      </c>
      <c r="F53" s="36">
        <f>E53/D53-1</f>
        <v>0.17032967032967017</v>
      </c>
      <c r="G53" s="36">
        <f t="shared" ref="G53:G63" si="16">D53/D$63</f>
        <v>0.38356164383561658</v>
      </c>
      <c r="H53" s="36">
        <f t="shared" ref="H53:H63" si="17">E53/E$63</f>
        <v>0.38833181403828632</v>
      </c>
      <c r="I53" s="9"/>
      <c r="J53" s="8">
        <v>1</v>
      </c>
      <c r="K53" s="8" t="s">
        <v>17</v>
      </c>
      <c r="L53" s="8">
        <v>86.4</v>
      </c>
      <c r="M53" s="8">
        <v>99.5</v>
      </c>
      <c r="N53" s="36">
        <f>M53/L53-1</f>
        <v>0.15162037037037024</v>
      </c>
      <c r="O53" s="36">
        <f t="shared" ref="O53:O63" si="18">L53/L$63</f>
        <v>0.38537020517395187</v>
      </c>
      <c r="P53" s="36">
        <f t="shared" ref="P53:P63" si="19">M53/M$63</f>
        <v>0.40678659035159442</v>
      </c>
      <c r="R53" s="12"/>
      <c r="S53" s="12"/>
      <c r="T53" s="12"/>
      <c r="U53" s="12"/>
      <c r="V53" s="12"/>
      <c r="W53" s="13"/>
      <c r="X53" s="13"/>
      <c r="Y53" s="13"/>
    </row>
    <row r="54" spans="1:32" ht="14" customHeight="1" x14ac:dyDescent="0.25">
      <c r="A54" s="151"/>
      <c r="B54" s="8">
        <v>2</v>
      </c>
      <c r="C54" s="8" t="s">
        <v>15</v>
      </c>
      <c r="D54" s="8">
        <v>15.7</v>
      </c>
      <c r="E54" s="8">
        <v>15.399999999999999</v>
      </c>
      <c r="F54" s="36">
        <f t="shared" ref="F54:F63" si="20">E54/D54-1</f>
        <v>-1.9108280254777066E-2</v>
      </c>
      <c r="G54" s="36">
        <f t="shared" si="16"/>
        <v>0.16543730242360383</v>
      </c>
      <c r="H54" s="36">
        <f t="shared" si="17"/>
        <v>0.14038286235186873</v>
      </c>
      <c r="I54" s="9"/>
      <c r="J54" s="8">
        <v>2</v>
      </c>
      <c r="K54" s="8" t="s">
        <v>15</v>
      </c>
      <c r="L54" s="8">
        <v>36.4</v>
      </c>
      <c r="M54" s="8">
        <v>33.5</v>
      </c>
      <c r="N54" s="36">
        <f t="shared" ref="N54:N62" si="21">M54/L54-1</f>
        <v>-7.9670329670329609E-2</v>
      </c>
      <c r="O54" s="36">
        <f t="shared" si="18"/>
        <v>0.1623550401427297</v>
      </c>
      <c r="P54" s="36">
        <f t="shared" si="19"/>
        <v>0.13695829926410466</v>
      </c>
      <c r="R54" s="12"/>
      <c r="S54" s="12"/>
      <c r="T54" s="12"/>
      <c r="U54" s="12"/>
      <c r="V54" s="12"/>
      <c r="W54" s="13"/>
      <c r="X54" s="13"/>
      <c r="Y54" s="13"/>
    </row>
    <row r="55" spans="1:32" ht="14" customHeight="1" x14ac:dyDescent="0.25">
      <c r="A55" s="151"/>
      <c r="B55" s="8">
        <v>3</v>
      </c>
      <c r="C55" s="8" t="s">
        <v>20</v>
      </c>
      <c r="D55" s="8">
        <v>10.200000000000001</v>
      </c>
      <c r="E55" s="8">
        <v>11.899999999999999</v>
      </c>
      <c r="F55" s="36">
        <f t="shared" si="20"/>
        <v>0.1666666666666663</v>
      </c>
      <c r="G55" s="36">
        <f t="shared" si="16"/>
        <v>0.10748155953635409</v>
      </c>
      <c r="H55" s="36">
        <f t="shared" si="17"/>
        <v>0.10847766636280766</v>
      </c>
      <c r="I55" s="9"/>
      <c r="J55" s="8">
        <v>3</v>
      </c>
      <c r="K55" s="8" t="s">
        <v>20</v>
      </c>
      <c r="L55" s="8">
        <v>22.3</v>
      </c>
      <c r="M55" s="8">
        <v>23.7</v>
      </c>
      <c r="N55" s="36">
        <f t="shared" si="21"/>
        <v>6.2780269058295923E-2</v>
      </c>
      <c r="O55" s="36">
        <f t="shared" si="18"/>
        <v>9.9464763603925074E-2</v>
      </c>
      <c r="P55" s="36">
        <f t="shared" si="19"/>
        <v>9.689288634505315E-2</v>
      </c>
      <c r="R55" s="12"/>
      <c r="S55" s="12"/>
      <c r="T55" s="12"/>
      <c r="U55" s="12"/>
      <c r="V55" s="12"/>
      <c r="W55" s="13"/>
      <c r="X55" s="13"/>
      <c r="Y55" s="13"/>
    </row>
    <row r="56" spans="1:32" ht="14" customHeight="1" x14ac:dyDescent="0.25">
      <c r="A56" s="151"/>
      <c r="B56" s="8">
        <v>4</v>
      </c>
      <c r="C56" s="8" t="s">
        <v>21</v>
      </c>
      <c r="D56" s="8">
        <v>3.7000000000000011</v>
      </c>
      <c r="E56" s="8">
        <v>5.3</v>
      </c>
      <c r="F56" s="36">
        <f t="shared" si="20"/>
        <v>0.43243243243243201</v>
      </c>
      <c r="G56" s="36">
        <f t="shared" si="16"/>
        <v>3.8988408851422574E-2</v>
      </c>
      <c r="H56" s="36">
        <f t="shared" si="17"/>
        <v>4.831358249772106E-2</v>
      </c>
      <c r="I56" s="9"/>
      <c r="J56" s="8">
        <v>4</v>
      </c>
      <c r="K56" s="8" t="s">
        <v>21</v>
      </c>
      <c r="L56" s="8">
        <v>8.8000000000000007</v>
      </c>
      <c r="M56" s="8">
        <v>11.6</v>
      </c>
      <c r="N56" s="36">
        <f t="shared" si="21"/>
        <v>0.31818181818181812</v>
      </c>
      <c r="O56" s="36">
        <f t="shared" si="18"/>
        <v>3.9250669045495096E-2</v>
      </c>
      <c r="P56" s="36">
        <f t="shared" si="19"/>
        <v>4.7424366312346686E-2</v>
      </c>
      <c r="R56" s="12"/>
      <c r="S56" s="12"/>
      <c r="T56" s="12"/>
      <c r="U56" s="12"/>
      <c r="V56" s="12"/>
      <c r="W56" s="13"/>
      <c r="X56" s="13"/>
      <c r="Y56" s="13"/>
    </row>
    <row r="57" spans="1:32" ht="14" customHeight="1" x14ac:dyDescent="0.25">
      <c r="A57" s="151"/>
      <c r="B57" s="8">
        <v>5</v>
      </c>
      <c r="C57" s="8" t="s">
        <v>22</v>
      </c>
      <c r="D57" s="8">
        <v>3.3</v>
      </c>
      <c r="E57" s="8">
        <v>4.8999999999999995</v>
      </c>
      <c r="F57" s="36">
        <f t="shared" si="20"/>
        <v>0.48484848484848486</v>
      </c>
      <c r="G57" s="36">
        <f t="shared" si="16"/>
        <v>3.4773445732349847E-2</v>
      </c>
      <c r="H57" s="36">
        <f t="shared" si="17"/>
        <v>4.4667274384685506E-2</v>
      </c>
      <c r="I57" s="9"/>
      <c r="J57" s="8">
        <v>5</v>
      </c>
      <c r="K57" s="8" t="s">
        <v>22</v>
      </c>
      <c r="L57" s="8">
        <v>8.1</v>
      </c>
      <c r="M57" s="8">
        <v>10.199999999999999</v>
      </c>
      <c r="N57" s="36">
        <f t="shared" si="21"/>
        <v>0.2592592592592593</v>
      </c>
      <c r="O57" s="36">
        <f t="shared" si="18"/>
        <v>3.6128456735057983E-2</v>
      </c>
      <c r="P57" s="36">
        <f t="shared" si="19"/>
        <v>4.1700735895339326E-2</v>
      </c>
      <c r="R57" s="12"/>
      <c r="S57" s="12"/>
      <c r="T57" s="12"/>
      <c r="U57" s="12"/>
      <c r="V57" s="12"/>
      <c r="W57" s="13"/>
      <c r="X57" s="13"/>
      <c r="Y57" s="13"/>
    </row>
    <row r="58" spans="1:32" ht="14" customHeight="1" x14ac:dyDescent="0.25">
      <c r="A58" s="151"/>
      <c r="B58" s="8">
        <v>6</v>
      </c>
      <c r="C58" s="8" t="s">
        <v>18</v>
      </c>
      <c r="D58" s="8">
        <v>3.4999999999999991</v>
      </c>
      <c r="E58" s="8">
        <v>3.8</v>
      </c>
      <c r="F58" s="36">
        <f t="shared" si="20"/>
        <v>8.5714285714285854E-2</v>
      </c>
      <c r="G58" s="36">
        <f t="shared" si="16"/>
        <v>3.6880927291886197E-2</v>
      </c>
      <c r="H58" s="36">
        <f t="shared" si="17"/>
        <v>3.4639927073837742E-2</v>
      </c>
      <c r="I58" s="9"/>
      <c r="J58" s="8">
        <v>6</v>
      </c>
      <c r="K58" s="8" t="s">
        <v>18</v>
      </c>
      <c r="L58" s="8">
        <v>8.6999999999999993</v>
      </c>
      <c r="M58" s="8">
        <v>9.1</v>
      </c>
      <c r="N58" s="36">
        <f t="shared" si="21"/>
        <v>4.5977011494252817E-2</v>
      </c>
      <c r="O58" s="36">
        <f t="shared" si="18"/>
        <v>3.8804638715432646E-2</v>
      </c>
      <c r="P58" s="36">
        <f t="shared" si="19"/>
        <v>3.7203597710547834E-2</v>
      </c>
      <c r="R58" s="12"/>
      <c r="S58" s="12"/>
      <c r="T58" s="12"/>
      <c r="U58" s="12"/>
      <c r="V58" s="12"/>
      <c r="W58" s="13"/>
      <c r="X58" s="13"/>
      <c r="Y58" s="13"/>
    </row>
    <row r="59" spans="1:32" ht="14" customHeight="1" x14ac:dyDescent="0.25">
      <c r="A59" s="151"/>
      <c r="B59" s="8">
        <v>7</v>
      </c>
      <c r="C59" s="8" t="s">
        <v>25</v>
      </c>
      <c r="D59" s="8">
        <v>4.0999999999999996</v>
      </c>
      <c r="E59" s="8">
        <v>3.8</v>
      </c>
      <c r="F59" s="36">
        <f t="shared" si="20"/>
        <v>-7.3170731707317027E-2</v>
      </c>
      <c r="G59" s="36">
        <f t="shared" si="16"/>
        <v>4.3203371970495265E-2</v>
      </c>
      <c r="H59" s="36">
        <f t="shared" si="17"/>
        <v>3.4639927073837742E-2</v>
      </c>
      <c r="I59" s="9"/>
      <c r="J59" s="8">
        <v>7</v>
      </c>
      <c r="K59" s="8" t="s">
        <v>25</v>
      </c>
      <c r="L59" s="8">
        <v>10.1</v>
      </c>
      <c r="M59" s="8">
        <v>9</v>
      </c>
      <c r="N59" s="36">
        <f t="shared" si="21"/>
        <v>-0.1089108910891089</v>
      </c>
      <c r="O59" s="36">
        <f t="shared" si="18"/>
        <v>4.5049063336306872E-2</v>
      </c>
      <c r="P59" s="36">
        <f t="shared" si="19"/>
        <v>3.6794766966475878E-2</v>
      </c>
      <c r="R59" s="12"/>
      <c r="S59" s="12"/>
      <c r="T59" s="12"/>
      <c r="U59" s="12"/>
      <c r="V59" s="12"/>
      <c r="W59" s="13"/>
      <c r="X59" s="13"/>
      <c r="Y59" s="13"/>
    </row>
    <row r="60" spans="1:32" ht="14" customHeight="1" x14ac:dyDescent="0.25">
      <c r="A60" s="151"/>
      <c r="B60" s="8">
        <v>8</v>
      </c>
      <c r="C60" s="8" t="s">
        <v>32</v>
      </c>
      <c r="D60" s="8">
        <v>2.8000000000000003</v>
      </c>
      <c r="E60" s="8">
        <v>3.8</v>
      </c>
      <c r="F60" s="36">
        <f t="shared" si="20"/>
        <v>0.35714285714285698</v>
      </c>
      <c r="G60" s="36">
        <f t="shared" si="16"/>
        <v>2.9504741833508968E-2</v>
      </c>
      <c r="H60" s="36">
        <f t="shared" si="17"/>
        <v>3.4639927073837742E-2</v>
      </c>
      <c r="I60" s="9"/>
      <c r="J60" s="8">
        <v>8</v>
      </c>
      <c r="K60" s="8" t="s">
        <v>32</v>
      </c>
      <c r="L60" s="8">
        <v>6.4</v>
      </c>
      <c r="M60" s="8">
        <v>7.5</v>
      </c>
      <c r="N60" s="36">
        <f t="shared" si="21"/>
        <v>0.171875</v>
      </c>
      <c r="O60" s="36">
        <f t="shared" si="18"/>
        <v>2.8545941123996436E-2</v>
      </c>
      <c r="P60" s="36">
        <f t="shared" si="19"/>
        <v>3.0662305805396566E-2</v>
      </c>
      <c r="R60" s="12"/>
      <c r="S60" s="12"/>
      <c r="T60" s="12"/>
      <c r="U60" s="12"/>
      <c r="V60" s="12"/>
      <c r="W60" s="13"/>
      <c r="X60" s="13"/>
      <c r="Y60" s="13"/>
    </row>
    <row r="61" spans="1:32" ht="14" customHeight="1" x14ac:dyDescent="0.25">
      <c r="A61" s="151"/>
      <c r="B61" s="8">
        <v>9</v>
      </c>
      <c r="C61" s="8" t="s">
        <v>35</v>
      </c>
      <c r="D61" s="8">
        <v>1.9000000000000004</v>
      </c>
      <c r="E61" s="8">
        <v>2.7</v>
      </c>
      <c r="F61" s="36">
        <f t="shared" si="20"/>
        <v>0.42105263157894712</v>
      </c>
      <c r="G61" s="36">
        <f t="shared" si="16"/>
        <v>2.0021074815595372E-2</v>
      </c>
      <c r="H61" s="36">
        <f t="shared" si="17"/>
        <v>2.4612579762989976E-2</v>
      </c>
      <c r="I61" s="9"/>
      <c r="J61" s="8">
        <v>9</v>
      </c>
      <c r="K61" s="8" t="s">
        <v>35</v>
      </c>
      <c r="L61" s="8">
        <v>4.9000000000000004</v>
      </c>
      <c r="M61" s="8">
        <v>6.5</v>
      </c>
      <c r="N61" s="36">
        <f t="shared" si="21"/>
        <v>0.32653061224489788</v>
      </c>
      <c r="O61" s="36">
        <f t="shared" si="18"/>
        <v>2.1855486173059772E-2</v>
      </c>
      <c r="P61" s="36">
        <f t="shared" si="19"/>
        <v>2.6573998364677023E-2</v>
      </c>
      <c r="R61" s="12"/>
      <c r="S61" s="12"/>
      <c r="T61" s="12"/>
      <c r="U61" s="12"/>
      <c r="V61" s="12"/>
      <c r="W61" s="13"/>
      <c r="X61" s="13"/>
      <c r="Y61" s="13"/>
    </row>
    <row r="62" spans="1:32" ht="14" customHeight="1" x14ac:dyDescent="0.25">
      <c r="A62" s="151"/>
      <c r="B62" s="8"/>
      <c r="C62" s="8" t="s">
        <v>77</v>
      </c>
      <c r="D62" s="8">
        <v>13.29999999999994</v>
      </c>
      <c r="E62" s="8">
        <v>15.500000000000014</v>
      </c>
      <c r="F62" s="36">
        <f t="shared" si="20"/>
        <v>0.16541353383459279</v>
      </c>
      <c r="G62" s="36">
        <f t="shared" si="16"/>
        <v>0.14014752370916694</v>
      </c>
      <c r="H62" s="36">
        <f t="shared" si="17"/>
        <v>0.14129443938012776</v>
      </c>
      <c r="I62" s="9"/>
      <c r="J62" s="8"/>
      <c r="K62" s="8" t="s">
        <v>77</v>
      </c>
      <c r="L62" s="8">
        <f>L63-SUM(L53:L61)</f>
        <v>32.099999999999966</v>
      </c>
      <c r="M62" s="8">
        <f>M63-SUM(M53:M61)</f>
        <v>34.000000000000028</v>
      </c>
      <c r="N62" s="36">
        <f t="shared" si="21"/>
        <v>5.9190031152650091E-2</v>
      </c>
      <c r="O62" s="36">
        <f t="shared" si="18"/>
        <v>0.14317573595004446</v>
      </c>
      <c r="P62" s="36">
        <f t="shared" si="19"/>
        <v>0.13900245298446456</v>
      </c>
      <c r="R62" s="12"/>
      <c r="S62" s="12"/>
      <c r="T62" s="12"/>
      <c r="U62" s="12"/>
      <c r="V62" s="12"/>
      <c r="W62" s="13"/>
      <c r="X62" s="13"/>
      <c r="Y62" s="13"/>
    </row>
    <row r="63" spans="1:32" ht="14" customHeight="1" x14ac:dyDescent="0.25">
      <c r="A63" s="151"/>
      <c r="B63" s="8"/>
      <c r="C63" s="8" t="s">
        <v>78</v>
      </c>
      <c r="D63" s="8">
        <v>94.899999999999977</v>
      </c>
      <c r="E63" s="8">
        <v>109.69999999999999</v>
      </c>
      <c r="F63" s="36">
        <f t="shared" si="20"/>
        <v>0.15595363540569029</v>
      </c>
      <c r="G63" s="36">
        <f t="shared" si="16"/>
        <v>1</v>
      </c>
      <c r="H63" s="36">
        <f t="shared" si="17"/>
        <v>1</v>
      </c>
      <c r="I63" s="9"/>
      <c r="J63" s="8"/>
      <c r="K63" s="8" t="s">
        <v>78</v>
      </c>
      <c r="L63" s="8">
        <v>224.2</v>
      </c>
      <c r="M63" s="8">
        <v>244.6</v>
      </c>
      <c r="N63" s="36">
        <f>M63/L63-1</f>
        <v>9.0990187332738559E-2</v>
      </c>
      <c r="O63" s="36">
        <f t="shared" si="18"/>
        <v>1</v>
      </c>
      <c r="P63" s="36">
        <f t="shared" si="19"/>
        <v>1</v>
      </c>
      <c r="R63" s="12"/>
      <c r="S63" s="12"/>
      <c r="T63" s="12"/>
      <c r="U63" s="12"/>
      <c r="V63" s="12"/>
      <c r="W63" s="13"/>
      <c r="X63" s="13"/>
      <c r="Y63" s="13"/>
    </row>
    <row r="64" spans="1:32" ht="15" customHeight="1" x14ac:dyDescent="0.25">
      <c r="A64" s="6"/>
      <c r="B64" s="9"/>
    </row>
    <row r="65" spans="1:32" ht="14" customHeight="1" x14ac:dyDescent="0.25">
      <c r="A65" s="154"/>
      <c r="B65" s="265" t="s">
        <v>935</v>
      </c>
      <c r="J65" s="265" t="s">
        <v>936</v>
      </c>
    </row>
    <row r="66" spans="1:32" s="216" customFormat="1" ht="14" customHeight="1" x14ac:dyDescent="0.25">
      <c r="A66" s="154"/>
      <c r="B66" s="36" t="s">
        <v>582</v>
      </c>
      <c r="C66" s="36" t="s">
        <v>335</v>
      </c>
      <c r="D66" s="140">
        <v>45689</v>
      </c>
      <c r="E66" s="140">
        <v>46054</v>
      </c>
      <c r="F66" s="36" t="s">
        <v>34</v>
      </c>
      <c r="G66" s="36" t="s">
        <v>941</v>
      </c>
      <c r="H66" s="36" t="s">
        <v>942</v>
      </c>
      <c r="J66" s="36" t="s">
        <v>582</v>
      </c>
      <c r="K66" s="36" t="s">
        <v>335</v>
      </c>
      <c r="L66" s="36" t="s">
        <v>937</v>
      </c>
      <c r="M66" s="36" t="s">
        <v>938</v>
      </c>
      <c r="N66" s="36" t="s">
        <v>34</v>
      </c>
      <c r="O66" s="36" t="s">
        <v>939</v>
      </c>
      <c r="P66" s="36" t="s">
        <v>940</v>
      </c>
      <c r="R66" s="141"/>
      <c r="S66" s="141"/>
      <c r="T66" s="141"/>
      <c r="U66" s="141"/>
      <c r="V66" s="142"/>
      <c r="W66" s="142"/>
      <c r="X66" s="142"/>
      <c r="AA66" s="12"/>
      <c r="AB66" s="12"/>
      <c r="AC66" s="12"/>
      <c r="AD66" s="13"/>
      <c r="AE66" s="13"/>
      <c r="AF66" s="13"/>
    </row>
    <row r="67" spans="1:32" ht="14" customHeight="1" x14ac:dyDescent="0.25">
      <c r="A67" s="151"/>
      <c r="B67" s="8">
        <v>1</v>
      </c>
      <c r="C67" s="8" t="s">
        <v>17</v>
      </c>
      <c r="D67" s="8">
        <v>24.1</v>
      </c>
      <c r="E67" s="8">
        <v>24.4</v>
      </c>
      <c r="F67" s="36">
        <f>E67/D67-1</f>
        <v>1.2448132780082943E-2</v>
      </c>
      <c r="G67" s="36">
        <f t="shared" ref="G67:G77" si="22">D67/D$77</f>
        <v>0.37422360248447206</v>
      </c>
      <c r="H67" s="36">
        <f t="shared" ref="H67:H77" si="23">E67/E$77</f>
        <v>0.38730158730158726</v>
      </c>
      <c r="I67" s="9"/>
      <c r="J67" s="8">
        <v>1</v>
      </c>
      <c r="K67" s="8" t="s">
        <v>17</v>
      </c>
      <c r="L67" s="8">
        <v>50</v>
      </c>
      <c r="M67" s="8">
        <v>56.9</v>
      </c>
      <c r="N67" s="36">
        <f>M67/L67-1</f>
        <v>0.1379999999999999</v>
      </c>
      <c r="O67" s="36">
        <f t="shared" ref="O67:O77" si="24">L67/L$77</f>
        <v>0.38669760247486462</v>
      </c>
      <c r="P67" s="36">
        <f t="shared" ref="P67:P77" si="25">M67/M$77</f>
        <v>0.42179392142327649</v>
      </c>
      <c r="R67" s="12"/>
      <c r="S67" s="12"/>
      <c r="T67" s="12"/>
      <c r="U67" s="12"/>
      <c r="V67" s="12"/>
      <c r="W67" s="13"/>
      <c r="X67" s="13"/>
      <c r="Y67" s="13"/>
    </row>
    <row r="68" spans="1:32" ht="14" customHeight="1" x14ac:dyDescent="0.25">
      <c r="A68" s="151"/>
      <c r="B68" s="8">
        <v>2</v>
      </c>
      <c r="C68" s="8" t="s">
        <v>15</v>
      </c>
      <c r="D68" s="8">
        <v>10.6</v>
      </c>
      <c r="E68" s="8">
        <v>8.2000000000000011</v>
      </c>
      <c r="F68" s="36">
        <f t="shared" ref="F68:F77" si="26">E68/D68-1</f>
        <v>-0.22641509433962248</v>
      </c>
      <c r="G68" s="36">
        <f t="shared" si="22"/>
        <v>0.16459627329192544</v>
      </c>
      <c r="H68" s="36">
        <f t="shared" si="23"/>
        <v>0.13015873015873017</v>
      </c>
      <c r="I68" s="9"/>
      <c r="J68" s="8">
        <v>2</v>
      </c>
      <c r="K68" s="8" t="s">
        <v>15</v>
      </c>
      <c r="L68" s="8">
        <v>20.7</v>
      </c>
      <c r="M68" s="8">
        <v>18.100000000000001</v>
      </c>
      <c r="N68" s="36">
        <f t="shared" ref="N68:N77" si="27">M68/L68-1</f>
        <v>-0.12560386473429941</v>
      </c>
      <c r="O68" s="36">
        <f t="shared" si="24"/>
        <v>0.16009280742459395</v>
      </c>
      <c r="P68" s="36">
        <f t="shared" si="25"/>
        <v>0.13417346182357301</v>
      </c>
      <c r="R68" s="12"/>
      <c r="S68" s="12"/>
      <c r="T68" s="12"/>
      <c r="U68" s="12"/>
      <c r="V68" s="12"/>
      <c r="W68" s="13"/>
      <c r="X68" s="13"/>
      <c r="Y68" s="13"/>
    </row>
    <row r="69" spans="1:32" ht="14" customHeight="1" x14ac:dyDescent="0.25">
      <c r="A69" s="151"/>
      <c r="B69" s="8">
        <v>3</v>
      </c>
      <c r="C69" s="8" t="s">
        <v>20</v>
      </c>
      <c r="D69" s="8">
        <v>6.5</v>
      </c>
      <c r="E69" s="8">
        <v>7.1000000000000005</v>
      </c>
      <c r="F69" s="36">
        <f t="shared" si="26"/>
        <v>9.2307692307692424E-2</v>
      </c>
      <c r="G69" s="36">
        <f t="shared" si="22"/>
        <v>0.10093167701863354</v>
      </c>
      <c r="H69" s="36">
        <f t="shared" si="23"/>
        <v>0.1126984126984127</v>
      </c>
      <c r="I69" s="9"/>
      <c r="J69" s="8">
        <v>3</v>
      </c>
      <c r="K69" s="8" t="s">
        <v>20</v>
      </c>
      <c r="L69" s="8">
        <v>12.1</v>
      </c>
      <c r="M69" s="8">
        <v>11.8</v>
      </c>
      <c r="N69" s="36">
        <f t="shared" si="27"/>
        <v>-2.4793388429751984E-2</v>
      </c>
      <c r="O69" s="36">
        <f t="shared" si="24"/>
        <v>9.3580819798917234E-2</v>
      </c>
      <c r="P69" s="36">
        <f t="shared" si="25"/>
        <v>8.7472201630837659E-2</v>
      </c>
      <c r="R69" s="12"/>
      <c r="S69" s="12"/>
      <c r="T69" s="12"/>
      <c r="U69" s="12"/>
      <c r="V69" s="12"/>
      <c r="W69" s="13"/>
      <c r="X69" s="13"/>
      <c r="Y69" s="13"/>
    </row>
    <row r="70" spans="1:32" ht="14" customHeight="1" x14ac:dyDescent="0.25">
      <c r="A70" s="151"/>
      <c r="B70" s="8">
        <v>4</v>
      </c>
      <c r="C70" s="8" t="s">
        <v>25</v>
      </c>
      <c r="D70" s="8">
        <v>3.1</v>
      </c>
      <c r="E70" s="8">
        <v>2.9000000000000004</v>
      </c>
      <c r="F70" s="36">
        <f t="shared" si="26"/>
        <v>-6.4516129032258007E-2</v>
      </c>
      <c r="G70" s="36">
        <f t="shared" si="22"/>
        <v>4.8136645962732913E-2</v>
      </c>
      <c r="H70" s="36">
        <f t="shared" si="23"/>
        <v>4.6031746031746035E-2</v>
      </c>
      <c r="I70" s="9"/>
      <c r="J70" s="8">
        <v>4</v>
      </c>
      <c r="K70" s="8" t="s">
        <v>21</v>
      </c>
      <c r="L70" s="8">
        <v>5.0999999999999996</v>
      </c>
      <c r="M70" s="8">
        <v>6.3</v>
      </c>
      <c r="N70" s="36">
        <f t="shared" si="27"/>
        <v>0.23529411764705888</v>
      </c>
      <c r="O70" s="36">
        <f t="shared" si="24"/>
        <v>3.9443155452436186E-2</v>
      </c>
      <c r="P70" s="36">
        <f t="shared" si="25"/>
        <v>4.6701260192735357E-2</v>
      </c>
      <c r="R70" s="12"/>
      <c r="S70" s="12"/>
      <c r="T70" s="12"/>
      <c r="U70" s="12"/>
      <c r="V70" s="12"/>
      <c r="W70" s="13"/>
      <c r="X70" s="13"/>
      <c r="Y70" s="13"/>
    </row>
    <row r="71" spans="1:32" ht="14" customHeight="1" x14ac:dyDescent="0.25">
      <c r="A71" s="151"/>
      <c r="B71" s="8">
        <v>5</v>
      </c>
      <c r="C71" s="8" t="s">
        <v>21</v>
      </c>
      <c r="D71" s="8">
        <v>2.5999999999999996</v>
      </c>
      <c r="E71" s="8">
        <v>2.5</v>
      </c>
      <c r="F71" s="36">
        <f t="shared" si="26"/>
        <v>-3.8461538461538325E-2</v>
      </c>
      <c r="G71" s="36">
        <f t="shared" si="22"/>
        <v>4.0372670807453409E-2</v>
      </c>
      <c r="H71" s="36">
        <f t="shared" si="23"/>
        <v>3.968253968253968E-2</v>
      </c>
      <c r="I71" s="9"/>
      <c r="J71" s="8">
        <v>5</v>
      </c>
      <c r="K71" s="8" t="s">
        <v>18</v>
      </c>
      <c r="L71" s="8">
        <v>5.2</v>
      </c>
      <c r="M71" s="8">
        <v>5.3</v>
      </c>
      <c r="N71" s="36">
        <f t="shared" si="27"/>
        <v>1.9230769230769162E-2</v>
      </c>
      <c r="O71" s="36">
        <f t="shared" si="24"/>
        <v>4.021655065738592E-2</v>
      </c>
      <c r="P71" s="36">
        <f t="shared" si="25"/>
        <v>3.9288361749444028E-2</v>
      </c>
      <c r="R71" s="12"/>
      <c r="S71" s="12"/>
      <c r="T71" s="12"/>
      <c r="U71" s="12"/>
      <c r="V71" s="12"/>
      <c r="W71" s="13"/>
      <c r="X71" s="13"/>
      <c r="Y71" s="13"/>
    </row>
    <row r="72" spans="1:32" ht="14" customHeight="1" x14ac:dyDescent="0.25">
      <c r="A72" s="151"/>
      <c r="B72" s="8">
        <v>6</v>
      </c>
      <c r="C72" s="8" t="s">
        <v>22</v>
      </c>
      <c r="D72" s="8">
        <v>2.2999999999999998</v>
      </c>
      <c r="E72" s="8">
        <v>2.5</v>
      </c>
      <c r="F72" s="36">
        <f t="shared" si="26"/>
        <v>8.6956521739130599E-2</v>
      </c>
      <c r="G72" s="36">
        <f t="shared" si="22"/>
        <v>3.5714285714285705E-2</v>
      </c>
      <c r="H72" s="36">
        <f t="shared" si="23"/>
        <v>3.968253968253968E-2</v>
      </c>
      <c r="I72" s="9"/>
      <c r="J72" s="8">
        <v>6</v>
      </c>
      <c r="K72" s="8" t="s">
        <v>22</v>
      </c>
      <c r="L72" s="8">
        <v>4.8</v>
      </c>
      <c r="M72" s="8">
        <v>5.3</v>
      </c>
      <c r="N72" s="36">
        <f t="shared" si="27"/>
        <v>0.10416666666666674</v>
      </c>
      <c r="O72" s="36">
        <f t="shared" si="24"/>
        <v>3.7122969837587005E-2</v>
      </c>
      <c r="P72" s="36">
        <f t="shared" si="25"/>
        <v>3.9288361749444028E-2</v>
      </c>
      <c r="R72" s="12"/>
      <c r="S72" s="12"/>
      <c r="T72" s="12"/>
      <c r="U72" s="12"/>
      <c r="V72" s="12"/>
      <c r="W72" s="13"/>
      <c r="X72" s="13"/>
      <c r="Y72" s="13"/>
    </row>
    <row r="73" spans="1:32" ht="14" customHeight="1" x14ac:dyDescent="0.25">
      <c r="A73" s="151"/>
      <c r="B73" s="8">
        <v>7</v>
      </c>
      <c r="C73" s="8" t="s">
        <v>18</v>
      </c>
      <c r="D73" s="8">
        <v>2.7</v>
      </c>
      <c r="E73" s="8">
        <v>2.1999999999999997</v>
      </c>
      <c r="F73" s="36">
        <f t="shared" si="26"/>
        <v>-0.18518518518518534</v>
      </c>
      <c r="G73" s="36">
        <f t="shared" si="22"/>
        <v>4.1925465838509313E-2</v>
      </c>
      <c r="H73" s="36">
        <f t="shared" si="23"/>
        <v>3.4920634920634915E-2</v>
      </c>
      <c r="I73" s="9"/>
      <c r="J73" s="8">
        <v>7</v>
      </c>
      <c r="K73" s="8" t="s">
        <v>25</v>
      </c>
      <c r="L73" s="8">
        <v>6</v>
      </c>
      <c r="M73" s="8">
        <v>5.2</v>
      </c>
      <c r="N73" s="36">
        <f t="shared" si="27"/>
        <v>-0.1333333333333333</v>
      </c>
      <c r="O73" s="36">
        <f t="shared" si="24"/>
        <v>4.6403712296983757E-2</v>
      </c>
      <c r="P73" s="36">
        <f t="shared" si="25"/>
        <v>3.8547071905114902E-2</v>
      </c>
      <c r="R73" s="12"/>
      <c r="S73" s="12"/>
      <c r="T73" s="12"/>
      <c r="U73" s="12"/>
      <c r="V73" s="12"/>
      <c r="W73" s="13"/>
      <c r="X73" s="13"/>
      <c r="Y73" s="13"/>
    </row>
    <row r="74" spans="1:32" ht="14" customHeight="1" x14ac:dyDescent="0.25">
      <c r="A74" s="151"/>
      <c r="B74" s="8">
        <v>8</v>
      </c>
      <c r="C74" s="8" t="s">
        <v>32</v>
      </c>
      <c r="D74" s="8">
        <v>1.9000000000000001</v>
      </c>
      <c r="E74" s="8">
        <v>1.9000000000000001</v>
      </c>
      <c r="F74" s="36">
        <f t="shared" si="26"/>
        <v>0</v>
      </c>
      <c r="G74" s="36">
        <f t="shared" si="22"/>
        <v>2.9503105590062112E-2</v>
      </c>
      <c r="H74" s="36">
        <f t="shared" si="23"/>
        <v>3.0158730158730159E-2</v>
      </c>
      <c r="I74" s="9"/>
      <c r="J74" s="8">
        <v>8</v>
      </c>
      <c r="K74" s="8" t="s">
        <v>35</v>
      </c>
      <c r="L74" s="8">
        <v>3</v>
      </c>
      <c r="M74" s="8">
        <v>3.8</v>
      </c>
      <c r="N74" s="36">
        <f t="shared" si="27"/>
        <v>0.26666666666666661</v>
      </c>
      <c r="O74" s="36">
        <f t="shared" si="24"/>
        <v>2.3201856148491878E-2</v>
      </c>
      <c r="P74" s="36">
        <f t="shared" si="25"/>
        <v>2.8169014084507039E-2</v>
      </c>
      <c r="R74" s="12"/>
      <c r="S74" s="12"/>
      <c r="T74" s="12"/>
      <c r="U74" s="12"/>
      <c r="V74" s="12"/>
      <c r="W74" s="13"/>
      <c r="X74" s="13"/>
      <c r="Y74" s="13"/>
    </row>
    <row r="75" spans="1:32" ht="14" customHeight="1" x14ac:dyDescent="0.25">
      <c r="A75" s="151"/>
      <c r="B75" s="8">
        <v>9</v>
      </c>
      <c r="C75" s="8" t="s">
        <v>35</v>
      </c>
      <c r="D75" s="8">
        <v>1.4</v>
      </c>
      <c r="E75" s="8">
        <v>1.9</v>
      </c>
      <c r="F75" s="36">
        <f t="shared" si="26"/>
        <v>0.35714285714285721</v>
      </c>
      <c r="G75" s="36">
        <f t="shared" si="22"/>
        <v>2.1739130434782605E-2</v>
      </c>
      <c r="H75" s="36">
        <f t="shared" si="23"/>
        <v>3.0158730158730156E-2</v>
      </c>
      <c r="I75" s="9"/>
      <c r="J75" s="8">
        <v>9</v>
      </c>
      <c r="K75" s="8" t="s">
        <v>32</v>
      </c>
      <c r="L75" s="8">
        <v>3.6</v>
      </c>
      <c r="M75" s="8">
        <v>3.7</v>
      </c>
      <c r="N75" s="36">
        <f t="shared" si="27"/>
        <v>2.7777777777777901E-2</v>
      </c>
      <c r="O75" s="36">
        <f t="shared" si="24"/>
        <v>2.7842227378190254E-2</v>
      </c>
      <c r="P75" s="36">
        <f t="shared" si="25"/>
        <v>2.7427724240177909E-2</v>
      </c>
      <c r="R75" s="12"/>
      <c r="S75" s="12"/>
      <c r="T75" s="12"/>
      <c r="U75" s="12"/>
      <c r="V75" s="12"/>
      <c r="W75" s="13"/>
      <c r="X75" s="13"/>
      <c r="Y75" s="13"/>
    </row>
    <row r="76" spans="1:32" ht="14" customHeight="1" x14ac:dyDescent="0.25">
      <c r="A76" s="151"/>
      <c r="B76" s="8"/>
      <c r="C76" s="8" t="s">
        <v>77</v>
      </c>
      <c r="D76" s="8">
        <f>D77-SUM(D67:D75)</f>
        <v>9.2000000000000028</v>
      </c>
      <c r="E76" s="8">
        <f>E77-SUM(E67:E75)</f>
        <v>9.3999999999999986</v>
      </c>
      <c r="F76" s="36">
        <f t="shared" si="26"/>
        <v>2.1739130434782039E-2</v>
      </c>
      <c r="G76" s="36">
        <f t="shared" si="22"/>
        <v>0.14285714285714288</v>
      </c>
      <c r="H76" s="36">
        <f t="shared" si="23"/>
        <v>0.14920634920634918</v>
      </c>
      <c r="I76" s="9"/>
      <c r="J76" s="8"/>
      <c r="K76" s="8" t="s">
        <v>77</v>
      </c>
      <c r="L76" s="8">
        <f>L77-SUM(L67:L75)</f>
        <v>18.800000000000026</v>
      </c>
      <c r="M76" s="8">
        <f>M77-SUM(M67:M75)</f>
        <v>18.500000000000014</v>
      </c>
      <c r="N76" s="36">
        <f t="shared" si="27"/>
        <v>-1.5957446808511189E-2</v>
      </c>
      <c r="O76" s="36">
        <f t="shared" si="24"/>
        <v>0.14539829853054931</v>
      </c>
      <c r="P76" s="36">
        <f t="shared" si="25"/>
        <v>0.13713862120088965</v>
      </c>
      <c r="R76" s="12"/>
      <c r="S76" s="12"/>
      <c r="T76" s="12"/>
      <c r="U76" s="12"/>
      <c r="V76" s="12"/>
      <c r="W76" s="13"/>
      <c r="X76" s="13"/>
      <c r="Y76" s="13"/>
    </row>
    <row r="77" spans="1:32" ht="14" customHeight="1" x14ac:dyDescent="0.25">
      <c r="A77" s="151"/>
      <c r="B77" s="8"/>
      <c r="C77" s="8" t="s">
        <v>78</v>
      </c>
      <c r="D77" s="8">
        <v>64.400000000000006</v>
      </c>
      <c r="E77" s="8">
        <v>63</v>
      </c>
      <c r="F77" s="36">
        <f t="shared" si="26"/>
        <v>-2.1739130434782705E-2</v>
      </c>
      <c r="G77" s="36">
        <f t="shared" si="22"/>
        <v>1</v>
      </c>
      <c r="H77" s="36">
        <f t="shared" si="23"/>
        <v>1</v>
      </c>
      <c r="I77" s="9"/>
      <c r="J77" s="8"/>
      <c r="K77" s="8" t="s">
        <v>78</v>
      </c>
      <c r="L77" s="8">
        <v>129.30000000000001</v>
      </c>
      <c r="M77" s="8">
        <v>134.9</v>
      </c>
      <c r="N77" s="36">
        <f t="shared" si="27"/>
        <v>4.3310131477184877E-2</v>
      </c>
      <c r="O77" s="36">
        <f t="shared" si="24"/>
        <v>1</v>
      </c>
      <c r="P77" s="36">
        <f t="shared" si="25"/>
        <v>1</v>
      </c>
      <c r="R77" s="12"/>
      <c r="S77" s="12"/>
      <c r="T77" s="12"/>
      <c r="U77" s="12"/>
      <c r="V77" s="12"/>
      <c r="W77" s="13"/>
      <c r="X77" s="13"/>
      <c r="Y77" s="13"/>
    </row>
    <row r="78" spans="1:32" ht="15" customHeight="1" x14ac:dyDescent="0.25">
      <c r="A78" s="6"/>
      <c r="B78" s="9"/>
    </row>
    <row r="79" spans="1:32" ht="14" customHeight="1" x14ac:dyDescent="0.25">
      <c r="A79" s="154"/>
      <c r="B79" s="265" t="s">
        <v>907</v>
      </c>
      <c r="I79"/>
      <c r="J79"/>
      <c r="K79"/>
      <c r="L79"/>
      <c r="M79"/>
      <c r="N79"/>
      <c r="O79"/>
      <c r="P79"/>
    </row>
    <row r="80" spans="1:32" s="216" customFormat="1" ht="14" customHeight="1" x14ac:dyDescent="0.25">
      <c r="A80" s="154"/>
      <c r="B80" s="36" t="s">
        <v>582</v>
      </c>
      <c r="C80" s="36" t="s">
        <v>335</v>
      </c>
      <c r="D80" s="140">
        <v>45658</v>
      </c>
      <c r="E80" s="140">
        <v>46023</v>
      </c>
      <c r="F80" s="36" t="s">
        <v>34</v>
      </c>
      <c r="G80" s="36" t="s">
        <v>908</v>
      </c>
      <c r="H80" s="36" t="s">
        <v>909</v>
      </c>
      <c r="I80"/>
      <c r="J80"/>
      <c r="K80"/>
      <c r="L80"/>
      <c r="M80"/>
      <c r="N80"/>
      <c r="O80"/>
      <c r="P80"/>
      <c r="R80" s="141"/>
      <c r="S80" s="141"/>
      <c r="T80" s="141"/>
      <c r="U80" s="141"/>
      <c r="V80" s="142"/>
      <c r="W80" s="142"/>
      <c r="X80" s="142"/>
      <c r="AA80" s="12"/>
      <c r="AB80" s="12"/>
      <c r="AC80" s="12"/>
      <c r="AD80" s="13"/>
      <c r="AE80" s="13"/>
      <c r="AF80" s="13"/>
    </row>
    <row r="81" spans="1:32" ht="14" customHeight="1" x14ac:dyDescent="0.25">
      <c r="A81" s="151"/>
      <c r="B81" s="8">
        <v>1</v>
      </c>
      <c r="C81" s="8" t="s">
        <v>910</v>
      </c>
      <c r="D81" s="8">
        <v>25.9</v>
      </c>
      <c r="E81" s="8">
        <v>32.5</v>
      </c>
      <c r="F81" s="36">
        <f>E81/D81-1</f>
        <v>0.25482625482625498</v>
      </c>
      <c r="G81" s="36">
        <f t="shared" ref="G81:G91" si="28">D81/D$106</f>
        <v>0.23022222222222222</v>
      </c>
      <c r="H81" s="36">
        <f t="shared" ref="H81:H91" si="29">E81/E$106</f>
        <v>0.23049645390070922</v>
      </c>
      <c r="I81"/>
      <c r="J81"/>
      <c r="K81"/>
      <c r="L81"/>
      <c r="M81"/>
      <c r="N81"/>
      <c r="O81"/>
      <c r="P81"/>
      <c r="R81" s="12"/>
      <c r="S81" s="12"/>
      <c r="T81" s="12"/>
      <c r="U81" s="12"/>
      <c r="V81" s="12"/>
      <c r="W81" s="13"/>
      <c r="X81" s="13"/>
      <c r="Y81" s="13"/>
    </row>
    <row r="82" spans="1:32" ht="14" customHeight="1" x14ac:dyDescent="0.25">
      <c r="A82" s="151"/>
      <c r="B82" s="8">
        <v>2</v>
      </c>
      <c r="C82" s="8" t="s">
        <v>69</v>
      </c>
      <c r="D82" s="8">
        <v>10.1</v>
      </c>
      <c r="E82" s="8">
        <v>9.9</v>
      </c>
      <c r="F82" s="36">
        <f>E82/D82-1</f>
        <v>-1.9801980198019709E-2</v>
      </c>
      <c r="G82" s="36">
        <f t="shared" si="28"/>
        <v>8.9777777777777776E-2</v>
      </c>
      <c r="H82" s="36">
        <f t="shared" si="29"/>
        <v>7.0212765957446813E-2</v>
      </c>
      <c r="I82"/>
      <c r="J82"/>
      <c r="K82"/>
      <c r="L82"/>
      <c r="M82"/>
      <c r="N82"/>
      <c r="O82"/>
      <c r="P82"/>
      <c r="R82" s="12"/>
      <c r="S82" s="12"/>
      <c r="T82" s="12"/>
      <c r="U82" s="12"/>
      <c r="V82" s="12"/>
      <c r="W82" s="13"/>
      <c r="X82" s="13"/>
      <c r="Y82" s="13"/>
    </row>
    <row r="83" spans="1:32" ht="14" customHeight="1" x14ac:dyDescent="0.25">
      <c r="A83" s="151"/>
      <c r="B83" s="8">
        <v>3</v>
      </c>
      <c r="C83" s="8" t="s">
        <v>127</v>
      </c>
      <c r="D83" s="8">
        <v>5.6</v>
      </c>
      <c r="E83" s="8">
        <v>4.7</v>
      </c>
      <c r="F83" s="36">
        <f t="shared" ref="F83:F86" si="30">E83/D83-1</f>
        <v>-0.16071428571428559</v>
      </c>
      <c r="G83" s="36">
        <f t="shared" si="28"/>
        <v>4.9777777777777775E-2</v>
      </c>
      <c r="H83" s="36">
        <f t="shared" si="29"/>
        <v>3.3333333333333333E-2</v>
      </c>
      <c r="I83"/>
      <c r="J83"/>
      <c r="K83"/>
      <c r="L83"/>
      <c r="M83"/>
      <c r="N83"/>
      <c r="O83"/>
      <c r="P83"/>
      <c r="R83" s="12"/>
      <c r="S83" s="12"/>
      <c r="T83" s="12"/>
      <c r="U83" s="12"/>
      <c r="V83" s="12"/>
      <c r="W83" s="13"/>
      <c r="X83" s="13"/>
      <c r="Y83" s="13"/>
    </row>
    <row r="84" spans="1:32" ht="14" customHeight="1" x14ac:dyDescent="0.25">
      <c r="A84" s="151"/>
      <c r="B84" s="8">
        <v>4</v>
      </c>
      <c r="C84" s="8" t="s">
        <v>71</v>
      </c>
      <c r="D84" s="8">
        <v>2.5</v>
      </c>
      <c r="E84" s="8">
        <v>3.8</v>
      </c>
      <c r="F84" s="36">
        <f t="shared" si="30"/>
        <v>0.52</v>
      </c>
      <c r="G84" s="36">
        <f t="shared" si="28"/>
        <v>2.2222222222222223E-2</v>
      </c>
      <c r="H84" s="36">
        <f t="shared" si="29"/>
        <v>2.6950354609929075E-2</v>
      </c>
      <c r="I84"/>
      <c r="J84"/>
      <c r="K84"/>
      <c r="L84"/>
      <c r="M84"/>
      <c r="N84"/>
      <c r="O84"/>
      <c r="P84"/>
      <c r="R84" s="12"/>
      <c r="S84" s="12"/>
      <c r="T84" s="12"/>
      <c r="U84" s="12"/>
      <c r="V84" s="12"/>
      <c r="W84" s="13"/>
      <c r="X84" s="13"/>
      <c r="Y84" s="13"/>
    </row>
    <row r="85" spans="1:32" ht="14" customHeight="1" x14ac:dyDescent="0.25">
      <c r="A85" s="151"/>
      <c r="B85" s="8">
        <v>5</v>
      </c>
      <c r="C85" s="8" t="s">
        <v>72</v>
      </c>
      <c r="D85" s="8">
        <v>2.5</v>
      </c>
      <c r="E85" s="8">
        <v>3.1</v>
      </c>
      <c r="F85" s="36">
        <f t="shared" si="30"/>
        <v>0.24</v>
      </c>
      <c r="G85" s="36">
        <f t="shared" si="28"/>
        <v>2.2222222222222223E-2</v>
      </c>
      <c r="H85" s="36">
        <f t="shared" si="29"/>
        <v>2.198581560283688E-2</v>
      </c>
      <c r="I85"/>
      <c r="J85"/>
      <c r="K85"/>
      <c r="L85"/>
      <c r="M85"/>
      <c r="N85"/>
      <c r="O85"/>
      <c r="P85"/>
      <c r="R85" s="12"/>
      <c r="S85" s="12"/>
      <c r="T85" s="12"/>
      <c r="U85" s="12"/>
      <c r="V85" s="12"/>
      <c r="W85" s="13"/>
      <c r="X85" s="13"/>
      <c r="Y85" s="13"/>
    </row>
    <row r="86" spans="1:32" ht="14" customHeight="1" x14ac:dyDescent="0.25">
      <c r="A86" s="151"/>
      <c r="B86" s="8">
        <v>6</v>
      </c>
      <c r="C86" s="8" t="s">
        <v>70</v>
      </c>
      <c r="D86" s="8">
        <v>2.5</v>
      </c>
      <c r="E86" s="8">
        <v>2.8</v>
      </c>
      <c r="F86" s="36">
        <f t="shared" si="30"/>
        <v>0.11999999999999988</v>
      </c>
      <c r="G86" s="36">
        <f t="shared" si="28"/>
        <v>2.2222222222222223E-2</v>
      </c>
      <c r="H86" s="36">
        <f t="shared" si="29"/>
        <v>1.9858156028368792E-2</v>
      </c>
      <c r="I86"/>
      <c r="J86"/>
      <c r="K86"/>
      <c r="L86"/>
      <c r="M86"/>
      <c r="N86"/>
      <c r="O86"/>
      <c r="P86"/>
      <c r="R86" s="12"/>
      <c r="S86" s="12"/>
      <c r="T86" s="12"/>
      <c r="U86" s="12"/>
      <c r="V86" s="12"/>
      <c r="W86" s="13"/>
      <c r="X86" s="13"/>
      <c r="Y86" s="13"/>
    </row>
    <row r="87" spans="1:32" ht="14" customHeight="1" x14ac:dyDescent="0.25">
      <c r="A87" s="151"/>
      <c r="B87" s="8">
        <v>7</v>
      </c>
      <c r="C87" s="8" t="s">
        <v>25</v>
      </c>
      <c r="D87" s="8">
        <v>2.9</v>
      </c>
      <c r="E87" s="8">
        <v>2.2999999999999998</v>
      </c>
      <c r="F87" s="36">
        <f>E87/D87-1</f>
        <v>-0.20689655172413801</v>
      </c>
      <c r="G87" s="36">
        <f t="shared" si="28"/>
        <v>2.5777777777777778E-2</v>
      </c>
      <c r="H87" s="36">
        <f t="shared" si="29"/>
        <v>1.6312056737588652E-2</v>
      </c>
      <c r="I87"/>
      <c r="J87"/>
      <c r="K87"/>
      <c r="L87"/>
      <c r="M87"/>
      <c r="N87"/>
      <c r="O87"/>
      <c r="P87"/>
      <c r="R87" s="12"/>
      <c r="S87" s="12"/>
      <c r="T87" s="12"/>
      <c r="U87" s="12"/>
      <c r="V87" s="12"/>
      <c r="W87" s="13"/>
      <c r="X87" s="13"/>
      <c r="Y87" s="13"/>
    </row>
    <row r="88" spans="1:32" ht="14" customHeight="1" x14ac:dyDescent="0.25">
      <c r="A88" s="151"/>
      <c r="B88" s="8">
        <v>8</v>
      </c>
      <c r="C88" s="8" t="s">
        <v>74</v>
      </c>
      <c r="D88" s="8">
        <v>1.6</v>
      </c>
      <c r="E88" s="8">
        <v>1.9</v>
      </c>
      <c r="F88" s="36">
        <f t="shared" ref="F88:F91" si="31">E88/D88-1</f>
        <v>0.18749999999999978</v>
      </c>
      <c r="G88" s="36">
        <f t="shared" si="28"/>
        <v>1.4222222222222223E-2</v>
      </c>
      <c r="H88" s="36">
        <f t="shared" si="29"/>
        <v>1.3475177304964538E-2</v>
      </c>
      <c r="I88"/>
      <c r="J88"/>
      <c r="K88"/>
      <c r="L88"/>
      <c r="M88"/>
      <c r="N88"/>
      <c r="O88"/>
      <c r="P88"/>
      <c r="R88" s="12"/>
      <c r="S88" s="12"/>
      <c r="T88" s="12"/>
      <c r="U88" s="12"/>
      <c r="V88" s="12"/>
      <c r="W88" s="13"/>
      <c r="X88" s="13"/>
      <c r="Y88" s="13"/>
    </row>
    <row r="89" spans="1:32" ht="14" customHeight="1" x14ac:dyDescent="0.25">
      <c r="A89" s="151"/>
      <c r="B89" s="8">
        <v>9</v>
      </c>
      <c r="C89" s="8" t="s">
        <v>73</v>
      </c>
      <c r="D89" s="8">
        <v>1.7</v>
      </c>
      <c r="E89" s="8">
        <v>1.8</v>
      </c>
      <c r="F89" s="36">
        <f t="shared" si="31"/>
        <v>5.8823529411764719E-2</v>
      </c>
      <c r="G89" s="36">
        <f t="shared" si="28"/>
        <v>1.511111111111111E-2</v>
      </c>
      <c r="H89" s="36">
        <f t="shared" si="29"/>
        <v>1.2765957446808512E-2</v>
      </c>
      <c r="I89"/>
      <c r="J89"/>
      <c r="K89"/>
      <c r="L89"/>
      <c r="M89"/>
      <c r="N89"/>
      <c r="O89"/>
      <c r="P89"/>
      <c r="R89" s="12"/>
      <c r="S89" s="12"/>
      <c r="T89" s="12"/>
      <c r="U89" s="12"/>
      <c r="V89" s="12"/>
      <c r="W89" s="13"/>
      <c r="X89" s="13"/>
      <c r="Y89" s="13"/>
    </row>
    <row r="90" spans="1:32" ht="14" customHeight="1" x14ac:dyDescent="0.25">
      <c r="A90" s="151"/>
      <c r="B90" s="8"/>
      <c r="C90" s="8" t="s">
        <v>77</v>
      </c>
      <c r="D90" s="8">
        <f>D91-SUM(D81:D89)</f>
        <v>9.6000000000000014</v>
      </c>
      <c r="E90" s="8">
        <f>E91-SUM(E81:E89)</f>
        <v>9.1000000000000156</v>
      </c>
      <c r="F90" s="36">
        <f t="shared" si="31"/>
        <v>-5.2083333333331816E-2</v>
      </c>
      <c r="G90" s="36">
        <f t="shared" si="28"/>
        <v>8.5333333333333344E-2</v>
      </c>
      <c r="H90" s="36">
        <f t="shared" si="29"/>
        <v>6.4539007092198689E-2</v>
      </c>
      <c r="I90"/>
      <c r="J90"/>
      <c r="K90"/>
      <c r="L90"/>
      <c r="M90"/>
      <c r="N90"/>
      <c r="O90"/>
      <c r="P90"/>
      <c r="R90" s="12"/>
      <c r="S90" s="12"/>
      <c r="T90" s="12"/>
      <c r="U90" s="12"/>
      <c r="V90" s="12"/>
      <c r="W90" s="13"/>
      <c r="X90" s="13"/>
      <c r="Y90" s="13"/>
    </row>
    <row r="91" spans="1:32" ht="14" customHeight="1" x14ac:dyDescent="0.25">
      <c r="A91" s="151"/>
      <c r="B91" s="8"/>
      <c r="C91" s="8" t="s">
        <v>78</v>
      </c>
      <c r="D91" s="8">
        <v>64.900000000000006</v>
      </c>
      <c r="E91" s="8">
        <v>71.900000000000006</v>
      </c>
      <c r="F91" s="36">
        <f t="shared" si="31"/>
        <v>0.10785824345146389</v>
      </c>
      <c r="G91" s="36">
        <f t="shared" si="28"/>
        <v>0.5768888888888889</v>
      </c>
      <c r="H91" s="36">
        <f t="shared" si="29"/>
        <v>0.50992907801418441</v>
      </c>
      <c r="I91"/>
      <c r="J91"/>
      <c r="K91"/>
      <c r="L91"/>
      <c r="M91"/>
      <c r="N91"/>
      <c r="O91"/>
      <c r="P91"/>
      <c r="R91" s="12"/>
      <c r="S91" s="12"/>
      <c r="T91" s="12"/>
      <c r="U91" s="12"/>
      <c r="V91" s="12"/>
      <c r="W91" s="13"/>
      <c r="X91" s="13"/>
      <c r="Y91" s="13"/>
    </row>
    <row r="92" spans="1:32" ht="14" customHeight="1" x14ac:dyDescent="0.25">
      <c r="A92" s="154"/>
      <c r="B92" s="11"/>
      <c r="J92" s="11"/>
    </row>
    <row r="93" spans="1:32" ht="14" customHeight="1" x14ac:dyDescent="0.25">
      <c r="A93" s="154"/>
      <c r="B93" s="265" t="s">
        <v>883</v>
      </c>
      <c r="J93" s="265" t="s">
        <v>884</v>
      </c>
    </row>
    <row r="94" spans="1:32" s="216" customFormat="1" ht="14" customHeight="1" x14ac:dyDescent="0.25">
      <c r="A94" s="154"/>
      <c r="B94" s="36" t="s">
        <v>582</v>
      </c>
      <c r="C94" s="36" t="s">
        <v>335</v>
      </c>
      <c r="D94" s="140">
        <v>45627</v>
      </c>
      <c r="E94" s="140">
        <v>45992</v>
      </c>
      <c r="F94" s="36" t="s">
        <v>34</v>
      </c>
      <c r="G94" s="36" t="s">
        <v>669</v>
      </c>
      <c r="H94" s="36" t="s">
        <v>670</v>
      </c>
      <c r="J94" s="36" t="s">
        <v>582</v>
      </c>
      <c r="K94" s="36" t="s">
        <v>335</v>
      </c>
      <c r="L94" s="36" t="s">
        <v>885</v>
      </c>
      <c r="M94" s="36" t="s">
        <v>886</v>
      </c>
      <c r="N94" s="36" t="s">
        <v>34</v>
      </c>
      <c r="O94" s="36" t="s">
        <v>669</v>
      </c>
      <c r="P94" s="36" t="s">
        <v>670</v>
      </c>
      <c r="R94" s="141"/>
      <c r="S94" s="141"/>
      <c r="T94" s="141"/>
      <c r="U94" s="141"/>
      <c r="V94" s="142"/>
      <c r="W94" s="142"/>
      <c r="X94" s="142"/>
      <c r="AA94" s="12"/>
      <c r="AB94" s="12"/>
      <c r="AC94" s="12"/>
      <c r="AD94" s="13"/>
      <c r="AE94" s="13"/>
      <c r="AF94" s="13"/>
    </row>
    <row r="95" spans="1:32" ht="14" customHeight="1" x14ac:dyDescent="0.25">
      <c r="A95" s="151"/>
      <c r="B95" s="8">
        <v>1</v>
      </c>
      <c r="C95" s="8" t="s">
        <v>68</v>
      </c>
      <c r="D95" s="8">
        <v>45.100000000000023</v>
      </c>
      <c r="E95" s="8">
        <v>64.699999999999989</v>
      </c>
      <c r="F95" s="36">
        <f>E95/D95-1</f>
        <v>0.43458980044345807</v>
      </c>
      <c r="G95" s="36">
        <f>D95/D$106</f>
        <v>0.40088888888888907</v>
      </c>
      <c r="H95" s="36">
        <f>E95/E$106</f>
        <v>0.4588652482269503</v>
      </c>
      <c r="I95" s="9"/>
      <c r="J95" s="8">
        <v>1</v>
      </c>
      <c r="K95" s="8" t="s">
        <v>68</v>
      </c>
      <c r="L95" s="8">
        <v>342.5</v>
      </c>
      <c r="M95" s="8">
        <v>464.7</v>
      </c>
      <c r="N95" s="36">
        <f>M95/L95-1</f>
        <v>0.35678832116788328</v>
      </c>
      <c r="O95" s="36">
        <f>L95/L$106</f>
        <v>0.37996449966718437</v>
      </c>
      <c r="P95" s="36">
        <f>M95/M$106</f>
        <v>0.39149115417017688</v>
      </c>
      <c r="R95" s="12"/>
      <c r="S95" s="12"/>
      <c r="T95" s="12"/>
      <c r="U95" s="12"/>
      <c r="V95" s="12"/>
      <c r="W95" s="13"/>
      <c r="X95" s="13"/>
      <c r="Y95" s="13"/>
    </row>
    <row r="96" spans="1:32" ht="14" customHeight="1" x14ac:dyDescent="0.25">
      <c r="A96" s="151"/>
      <c r="B96" s="8">
        <v>2</v>
      </c>
      <c r="C96" s="8" t="s">
        <v>69</v>
      </c>
      <c r="D96" s="8">
        <v>19.199999999999989</v>
      </c>
      <c r="E96" s="8">
        <v>19.600000000000023</v>
      </c>
      <c r="F96" s="36">
        <f t="shared" ref="F96:F100" si="32">E96/D96-1</f>
        <v>2.0833333333335036E-2</v>
      </c>
      <c r="G96" s="36">
        <f t="shared" ref="G96:G106" si="33">D96/D$106</f>
        <v>0.17066666666666658</v>
      </c>
      <c r="H96" s="36">
        <f t="shared" ref="H96:H106" si="34">E96/E$106</f>
        <v>0.13900709219858173</v>
      </c>
      <c r="I96" s="9"/>
      <c r="J96" s="8">
        <v>2</v>
      </c>
      <c r="K96" s="8" t="s">
        <v>69</v>
      </c>
      <c r="L96" s="8">
        <v>152.6</v>
      </c>
      <c r="M96" s="8">
        <v>194.8</v>
      </c>
      <c r="N96" s="36">
        <f t="shared" ref="N96:N106" si="35">M96/L96-1</f>
        <v>0.27653997378768036</v>
      </c>
      <c r="O96" s="36">
        <f t="shared" ref="O96:O106" si="36">L96/L$106</f>
        <v>0.16929221211448858</v>
      </c>
      <c r="P96" s="36">
        <f t="shared" ref="P96:P106" si="37">M96/M$106</f>
        <v>0.1641112047177759</v>
      </c>
      <c r="R96" s="12"/>
      <c r="S96" s="12"/>
      <c r="T96" s="12"/>
      <c r="U96" s="12"/>
      <c r="V96" s="12"/>
      <c r="W96" s="13"/>
      <c r="X96" s="13"/>
      <c r="Y96" s="13"/>
    </row>
    <row r="97" spans="1:32" ht="14" customHeight="1" x14ac:dyDescent="0.25">
      <c r="A97" s="151"/>
      <c r="B97" s="8">
        <v>3</v>
      </c>
      <c r="C97" s="8" t="s">
        <v>71</v>
      </c>
      <c r="D97" s="8">
        <v>5.4000000000000057</v>
      </c>
      <c r="E97" s="8">
        <v>11.899999999999999</v>
      </c>
      <c r="F97" s="36">
        <f t="shared" si="32"/>
        <v>1.2037037037037011</v>
      </c>
      <c r="G97" s="36">
        <f t="shared" si="33"/>
        <v>4.800000000000005E-2</v>
      </c>
      <c r="H97" s="36">
        <f t="shared" si="34"/>
        <v>8.4397163120567359E-2</v>
      </c>
      <c r="I97" s="9"/>
      <c r="J97" s="8">
        <v>3</v>
      </c>
      <c r="K97" s="8" t="s">
        <v>127</v>
      </c>
      <c r="L97" s="8">
        <v>97.8</v>
      </c>
      <c r="M97" s="8">
        <v>108.8</v>
      </c>
      <c r="N97" s="36">
        <f t="shared" si="35"/>
        <v>0.11247443762781195</v>
      </c>
      <c r="O97" s="36">
        <f t="shared" si="36"/>
        <v>0.10849789216773907</v>
      </c>
      <c r="P97" s="36">
        <f t="shared" si="37"/>
        <v>9.1659646166807079E-2</v>
      </c>
      <c r="R97" s="12"/>
      <c r="S97" s="12"/>
      <c r="T97" s="12"/>
      <c r="U97" s="12"/>
      <c r="V97" s="12"/>
      <c r="W97" s="13"/>
      <c r="X97" s="13"/>
      <c r="Y97" s="13"/>
    </row>
    <row r="98" spans="1:32" ht="14" customHeight="1" x14ac:dyDescent="0.25">
      <c r="A98" s="151"/>
      <c r="B98" s="8">
        <v>4</v>
      </c>
      <c r="C98" s="8" t="s">
        <v>127</v>
      </c>
      <c r="D98" s="8">
        <v>10.5</v>
      </c>
      <c r="E98" s="8">
        <v>11.899999999999991</v>
      </c>
      <c r="F98" s="36">
        <f t="shared" si="32"/>
        <v>0.13333333333333242</v>
      </c>
      <c r="G98" s="36">
        <f t="shared" si="33"/>
        <v>9.3333333333333338E-2</v>
      </c>
      <c r="H98" s="36">
        <f t="shared" si="34"/>
        <v>8.4397163120567317E-2</v>
      </c>
      <c r="I98" s="9"/>
      <c r="J98" s="8">
        <v>4</v>
      </c>
      <c r="K98" s="8" t="s">
        <v>71</v>
      </c>
      <c r="L98" s="8">
        <v>41.2</v>
      </c>
      <c r="M98" s="8">
        <v>62.8</v>
      </c>
      <c r="N98" s="36">
        <f t="shared" si="35"/>
        <v>0.52427184466019394</v>
      </c>
      <c r="O98" s="36">
        <f t="shared" si="36"/>
        <v>4.5706678500110946E-2</v>
      </c>
      <c r="P98" s="36">
        <f t="shared" si="37"/>
        <v>5.2906486941870258E-2</v>
      </c>
      <c r="R98" s="12"/>
      <c r="S98" s="12"/>
      <c r="T98" s="12"/>
      <c r="U98" s="12"/>
      <c r="V98" s="12"/>
      <c r="W98" s="13"/>
      <c r="X98" s="13"/>
      <c r="Y98" s="13"/>
    </row>
    <row r="99" spans="1:32" ht="14" customHeight="1" x14ac:dyDescent="0.25">
      <c r="A99" s="151"/>
      <c r="B99" s="8">
        <v>5</v>
      </c>
      <c r="C99" s="8" t="s">
        <v>70</v>
      </c>
      <c r="D99" s="8">
        <v>4</v>
      </c>
      <c r="E99" s="8">
        <v>8.6000000000000014</v>
      </c>
      <c r="F99" s="36">
        <f t="shared" si="32"/>
        <v>1.1500000000000004</v>
      </c>
      <c r="G99" s="36">
        <f t="shared" si="33"/>
        <v>3.5555555555555556E-2</v>
      </c>
      <c r="H99" s="36">
        <f t="shared" si="34"/>
        <v>6.0992907801418451E-2</v>
      </c>
      <c r="I99" s="9"/>
      <c r="J99" s="8">
        <v>5</v>
      </c>
      <c r="K99" s="8" t="s">
        <v>70</v>
      </c>
      <c r="L99" s="8">
        <v>29.3</v>
      </c>
      <c r="M99" s="8">
        <v>53.5</v>
      </c>
      <c r="N99" s="36">
        <f t="shared" si="35"/>
        <v>0.82593856655290088</v>
      </c>
      <c r="O99" s="36">
        <f t="shared" si="36"/>
        <v>3.2504992234302199E-2</v>
      </c>
      <c r="P99" s="36">
        <f t="shared" si="37"/>
        <v>4.5071609098567819E-2</v>
      </c>
      <c r="R99" s="12"/>
      <c r="S99" s="12"/>
      <c r="T99" s="12"/>
      <c r="U99" s="12"/>
      <c r="V99" s="12"/>
      <c r="W99" s="13"/>
      <c r="X99" s="13"/>
      <c r="Y99" s="13"/>
    </row>
    <row r="100" spans="1:32" ht="14" customHeight="1" x14ac:dyDescent="0.25">
      <c r="A100" s="151"/>
      <c r="B100" s="8">
        <v>6</v>
      </c>
      <c r="C100" s="8" t="s">
        <v>73</v>
      </c>
      <c r="D100" s="8">
        <v>3.3000000000000007</v>
      </c>
      <c r="E100" s="8">
        <v>5.7000000000000028</v>
      </c>
      <c r="F100" s="36">
        <f t="shared" si="32"/>
        <v>0.72727272727272774</v>
      </c>
      <c r="G100" s="36">
        <f t="shared" si="33"/>
        <v>2.933333333333334E-2</v>
      </c>
      <c r="H100" s="36">
        <f t="shared" si="34"/>
        <v>4.0425531914893634E-2</v>
      </c>
      <c r="I100" s="9"/>
      <c r="J100" s="8">
        <v>6</v>
      </c>
      <c r="K100" s="8" t="s">
        <v>25</v>
      </c>
      <c r="L100" s="8">
        <v>39.700000000000003</v>
      </c>
      <c r="M100" s="8">
        <v>44.5</v>
      </c>
      <c r="N100" s="36">
        <f t="shared" si="35"/>
        <v>0.12090680100755669</v>
      </c>
      <c r="O100" s="36">
        <f t="shared" si="36"/>
        <v>4.4042600399378747E-2</v>
      </c>
      <c r="P100" s="36">
        <f t="shared" si="37"/>
        <v>3.7489469250210614E-2</v>
      </c>
      <c r="R100" s="12"/>
      <c r="S100" s="12"/>
      <c r="T100" s="12"/>
      <c r="U100" s="12"/>
      <c r="V100" s="12"/>
      <c r="W100" s="13"/>
      <c r="X100" s="13"/>
      <c r="Y100" s="13"/>
    </row>
    <row r="101" spans="1:32" ht="14" customHeight="1" x14ac:dyDescent="0.25">
      <c r="A101" s="151"/>
      <c r="B101" s="8">
        <v>7</v>
      </c>
      <c r="C101" s="8" t="s">
        <v>74</v>
      </c>
      <c r="D101" s="8">
        <v>4.1000000000000014</v>
      </c>
      <c r="E101" s="8">
        <v>3.8999999999999986</v>
      </c>
      <c r="F101" s="36">
        <f>E101/D101-1</f>
        <v>-4.8780487804878758E-2</v>
      </c>
      <c r="G101" s="36">
        <f t="shared" si="33"/>
        <v>3.644444444444446E-2</v>
      </c>
      <c r="H101" s="36">
        <f t="shared" si="34"/>
        <v>2.7659574468085098E-2</v>
      </c>
      <c r="I101" s="9"/>
      <c r="J101" s="8">
        <v>7</v>
      </c>
      <c r="K101" s="8" t="s">
        <v>72</v>
      </c>
      <c r="L101" s="8">
        <v>34.6</v>
      </c>
      <c r="M101" s="8">
        <v>44.2</v>
      </c>
      <c r="N101" s="36">
        <f t="shared" si="35"/>
        <v>0.27745664739884401</v>
      </c>
      <c r="O101" s="36">
        <f t="shared" si="36"/>
        <v>3.8384734856889285E-2</v>
      </c>
      <c r="P101" s="36">
        <f t="shared" si="37"/>
        <v>3.723673125526538E-2</v>
      </c>
      <c r="R101" s="12"/>
      <c r="S101" s="12"/>
      <c r="T101" s="12"/>
      <c r="U101" s="12"/>
      <c r="V101" s="12"/>
      <c r="W101" s="13"/>
      <c r="X101" s="13"/>
      <c r="Y101" s="13"/>
    </row>
    <row r="102" spans="1:32" ht="14" customHeight="1" x14ac:dyDescent="0.25">
      <c r="A102" s="151"/>
      <c r="B102" s="8">
        <v>8</v>
      </c>
      <c r="C102" s="8" t="s">
        <v>25</v>
      </c>
      <c r="D102" s="8">
        <v>2.6999999999999993</v>
      </c>
      <c r="E102" s="8">
        <v>2.9000000000000021</v>
      </c>
      <c r="F102" s="36">
        <f t="shared" ref="F102:F106" si="38">E102/D102-1</f>
        <v>7.4074074074075069E-2</v>
      </c>
      <c r="G102" s="36">
        <f t="shared" si="33"/>
        <v>2.3999999999999994E-2</v>
      </c>
      <c r="H102" s="36">
        <f t="shared" si="34"/>
        <v>2.0567375886524839E-2</v>
      </c>
      <c r="I102" s="9"/>
      <c r="J102" s="8">
        <v>8</v>
      </c>
      <c r="K102" s="8" t="s">
        <v>73</v>
      </c>
      <c r="L102" s="8">
        <v>18.7</v>
      </c>
      <c r="M102" s="8">
        <v>31.3</v>
      </c>
      <c r="N102" s="36">
        <f t="shared" si="35"/>
        <v>0.6737967914438503</v>
      </c>
      <c r="O102" s="36">
        <f t="shared" si="36"/>
        <v>2.0745506989128023E-2</v>
      </c>
      <c r="P102" s="36">
        <f t="shared" si="37"/>
        <v>2.6368997472620052E-2</v>
      </c>
      <c r="R102" s="12"/>
      <c r="S102" s="12"/>
      <c r="T102" s="12"/>
      <c r="U102" s="12"/>
      <c r="V102" s="12"/>
      <c r="W102" s="13"/>
      <c r="X102" s="13"/>
      <c r="Y102" s="13"/>
    </row>
    <row r="103" spans="1:32" ht="14" customHeight="1" x14ac:dyDescent="0.25">
      <c r="A103" s="151"/>
      <c r="B103" s="8">
        <v>9</v>
      </c>
      <c r="C103" s="8" t="s">
        <v>128</v>
      </c>
      <c r="D103" s="8">
        <v>2.6000000000000014</v>
      </c>
      <c r="E103" s="8">
        <v>1.7999999999999972</v>
      </c>
      <c r="F103" s="36">
        <f t="shared" si="38"/>
        <v>-0.30769230769230915</v>
      </c>
      <c r="G103" s="36">
        <f t="shared" si="33"/>
        <v>2.3111111111111124E-2</v>
      </c>
      <c r="H103" s="36">
        <f t="shared" si="34"/>
        <v>1.2765957446808491E-2</v>
      </c>
      <c r="I103" s="9"/>
      <c r="J103" s="8">
        <v>9</v>
      </c>
      <c r="K103" s="8" t="s">
        <v>74</v>
      </c>
      <c r="L103" s="8">
        <v>17.399999999999999</v>
      </c>
      <c r="M103" s="8">
        <v>28.5</v>
      </c>
      <c r="N103" s="36">
        <f t="shared" si="35"/>
        <v>0.63793103448275867</v>
      </c>
      <c r="O103" s="36">
        <f t="shared" si="36"/>
        <v>1.9303305968493452E-2</v>
      </c>
      <c r="P103" s="36">
        <f t="shared" si="37"/>
        <v>2.4010109519797811E-2</v>
      </c>
      <c r="R103" s="12"/>
      <c r="S103" s="12"/>
      <c r="T103" s="12"/>
      <c r="U103" s="12"/>
      <c r="V103" s="12"/>
      <c r="W103" s="13"/>
      <c r="X103" s="13"/>
      <c r="Y103" s="13"/>
    </row>
    <row r="104" spans="1:32" ht="14" customHeight="1" x14ac:dyDescent="0.25">
      <c r="A104" s="151"/>
      <c r="B104" s="8">
        <v>10</v>
      </c>
      <c r="C104" s="8" t="s">
        <v>72</v>
      </c>
      <c r="D104" s="8">
        <v>2.5999999999999979</v>
      </c>
      <c r="E104" s="8">
        <v>1</v>
      </c>
      <c r="F104" s="36">
        <f t="shared" si="38"/>
        <v>-0.61538461538461509</v>
      </c>
      <c r="G104" s="36">
        <f t="shared" si="33"/>
        <v>2.3111111111111093E-2</v>
      </c>
      <c r="H104" s="36">
        <f t="shared" si="34"/>
        <v>7.0921985815602835E-3</v>
      </c>
      <c r="I104" s="9"/>
      <c r="J104" s="8">
        <v>10</v>
      </c>
      <c r="K104" s="8" t="s">
        <v>128</v>
      </c>
      <c r="L104" s="8">
        <v>31.1</v>
      </c>
      <c r="M104" s="8">
        <v>28.9</v>
      </c>
      <c r="N104" s="36">
        <f t="shared" si="35"/>
        <v>-7.0739549839228366E-2</v>
      </c>
      <c r="O104" s="36">
        <f t="shared" si="36"/>
        <v>3.4501885955180833E-2</v>
      </c>
      <c r="P104" s="36">
        <f t="shared" si="37"/>
        <v>2.4347093513058127E-2</v>
      </c>
      <c r="R104" s="12"/>
      <c r="S104" s="12"/>
      <c r="T104" s="12"/>
      <c r="U104" s="12"/>
      <c r="V104" s="12"/>
      <c r="W104" s="13"/>
      <c r="X104" s="13"/>
      <c r="Y104" s="13"/>
    </row>
    <row r="105" spans="1:32" ht="14" customHeight="1" x14ac:dyDescent="0.25">
      <c r="A105" s="151"/>
      <c r="B105" s="8"/>
      <c r="C105" s="8" t="s">
        <v>77</v>
      </c>
      <c r="D105" s="8">
        <v>13.299999999999997</v>
      </c>
      <c r="E105" s="8">
        <v>8.8000000000000114</v>
      </c>
      <c r="F105" s="36">
        <f t="shared" si="38"/>
        <v>-0.33834586466165317</v>
      </c>
      <c r="G105" s="36">
        <f t="shared" si="33"/>
        <v>0.1182222222222222</v>
      </c>
      <c r="H105" s="36">
        <f t="shared" si="34"/>
        <v>6.241134751773058E-2</v>
      </c>
      <c r="I105" s="9"/>
      <c r="J105" s="8"/>
      <c r="K105" s="8" t="s">
        <v>77</v>
      </c>
      <c r="L105" s="8">
        <v>96.7</v>
      </c>
      <c r="M105" s="8">
        <v>124.9</v>
      </c>
      <c r="N105" s="36">
        <f t="shared" si="35"/>
        <v>0.29162357807652528</v>
      </c>
      <c r="O105" s="36">
        <f t="shared" si="36"/>
        <v>0.10727756822720214</v>
      </c>
      <c r="P105" s="36">
        <f t="shared" si="37"/>
        <v>0.10522325189553497</v>
      </c>
      <c r="R105" s="12"/>
      <c r="S105" s="12"/>
      <c r="T105" s="12"/>
      <c r="U105" s="12"/>
      <c r="V105" s="12"/>
      <c r="W105" s="13"/>
      <c r="X105" s="13"/>
      <c r="Y105" s="13"/>
    </row>
    <row r="106" spans="1:32" ht="14" customHeight="1" x14ac:dyDescent="0.25">
      <c r="A106" s="151"/>
      <c r="B106" s="8"/>
      <c r="C106" s="8" t="s">
        <v>78</v>
      </c>
      <c r="D106" s="8">
        <v>112.5</v>
      </c>
      <c r="E106" s="8">
        <v>141</v>
      </c>
      <c r="F106" s="36">
        <f t="shared" si="38"/>
        <v>0.25333333333333341</v>
      </c>
      <c r="G106" s="36">
        <f t="shared" si="33"/>
        <v>1</v>
      </c>
      <c r="H106" s="36">
        <f t="shared" si="34"/>
        <v>1</v>
      </c>
      <c r="I106" s="9"/>
      <c r="J106" s="8"/>
      <c r="K106" s="8" t="s">
        <v>78</v>
      </c>
      <c r="L106" s="8">
        <v>901.4</v>
      </c>
      <c r="M106" s="8">
        <v>1187</v>
      </c>
      <c r="N106" s="36">
        <f t="shared" si="35"/>
        <v>0.31684047037940988</v>
      </c>
      <c r="O106" s="36">
        <f t="shared" si="36"/>
        <v>1</v>
      </c>
      <c r="P106" s="36">
        <f t="shared" si="37"/>
        <v>1</v>
      </c>
      <c r="R106" s="12"/>
      <c r="S106" s="12"/>
      <c r="T106" s="12"/>
      <c r="U106" s="12"/>
      <c r="V106" s="12"/>
      <c r="W106" s="13"/>
      <c r="X106" s="13"/>
      <c r="Y106" s="13"/>
    </row>
    <row r="107" spans="1:32" ht="14" customHeight="1" x14ac:dyDescent="0.25">
      <c r="A107" s="154"/>
      <c r="B107" s="11"/>
      <c r="J107" s="11"/>
    </row>
    <row r="108" spans="1:32" ht="14" customHeight="1" x14ac:dyDescent="0.25">
      <c r="A108" s="154"/>
      <c r="B108" s="11" t="s">
        <v>75</v>
      </c>
      <c r="J108" s="11" t="s">
        <v>76</v>
      </c>
    </row>
    <row r="109" spans="1:32" s="216" customFormat="1" ht="14" customHeight="1" x14ac:dyDescent="0.25">
      <c r="A109" s="154"/>
      <c r="B109" s="36" t="s">
        <v>582</v>
      </c>
      <c r="C109" s="36" t="s">
        <v>335</v>
      </c>
      <c r="D109" s="140">
        <v>45597</v>
      </c>
      <c r="E109" s="140">
        <v>45962</v>
      </c>
      <c r="F109" s="36" t="s">
        <v>34</v>
      </c>
      <c r="G109" s="36" t="s">
        <v>669</v>
      </c>
      <c r="H109" s="36" t="s">
        <v>670</v>
      </c>
      <c r="J109" s="36" t="s">
        <v>582</v>
      </c>
      <c r="K109" s="36" t="s">
        <v>335</v>
      </c>
      <c r="L109" s="36" t="s">
        <v>671</v>
      </c>
      <c r="M109" s="36" t="s">
        <v>672</v>
      </c>
      <c r="N109" s="36" t="s">
        <v>34</v>
      </c>
      <c r="O109" s="36" t="s">
        <v>669</v>
      </c>
      <c r="P109" s="36" t="s">
        <v>670</v>
      </c>
      <c r="R109" s="141"/>
      <c r="S109" s="141"/>
      <c r="T109" s="141"/>
      <c r="U109" s="141"/>
      <c r="V109" s="142"/>
      <c r="W109" s="142"/>
      <c r="X109" s="142"/>
      <c r="AA109" s="12"/>
      <c r="AB109" s="12"/>
      <c r="AC109" s="12"/>
      <c r="AD109" s="13"/>
      <c r="AE109" s="13"/>
      <c r="AF109" s="13"/>
    </row>
    <row r="110" spans="1:32" ht="14" customHeight="1" x14ac:dyDescent="0.25">
      <c r="A110" s="151"/>
      <c r="B110" s="8">
        <v>1</v>
      </c>
      <c r="C110" s="8" t="s">
        <v>68</v>
      </c>
      <c r="D110" s="8">
        <v>37.399999999999977</v>
      </c>
      <c r="E110" s="8">
        <v>44.800000000000011</v>
      </c>
      <c r="F110" s="36">
        <f>E110/D110-1</f>
        <v>0.19786096256684593</v>
      </c>
      <c r="G110" s="36">
        <f>D110/D$121</f>
        <v>0.38085539714867622</v>
      </c>
      <c r="H110" s="36">
        <f>E110/E$121</f>
        <v>0.39822222222222231</v>
      </c>
      <c r="I110" s="9"/>
      <c r="J110" s="8">
        <v>1</v>
      </c>
      <c r="K110" s="8" t="s">
        <v>68</v>
      </c>
      <c r="L110" s="8">
        <v>297.39999999999998</v>
      </c>
      <c r="M110" s="8">
        <v>400</v>
      </c>
      <c r="N110" s="36">
        <f>M110/L110-1</f>
        <v>0.3449899125756557</v>
      </c>
      <c r="O110" s="36">
        <f>L110/L$121</f>
        <v>0.37698060590695903</v>
      </c>
      <c r="P110" s="36">
        <f>M110/M$121</f>
        <v>0.38240917782026768</v>
      </c>
      <c r="R110" s="12"/>
      <c r="S110" s="12"/>
      <c r="T110" s="12"/>
      <c r="U110" s="12"/>
      <c r="V110" s="12"/>
      <c r="W110" s="13"/>
      <c r="X110" s="13"/>
      <c r="Y110" s="13"/>
    </row>
    <row r="111" spans="1:32" ht="14" customHeight="1" x14ac:dyDescent="0.25">
      <c r="A111" s="151"/>
      <c r="B111" s="8">
        <v>2</v>
      </c>
      <c r="C111" s="8" t="s">
        <v>69</v>
      </c>
      <c r="D111" s="8">
        <v>17.400000000000006</v>
      </c>
      <c r="E111" s="8">
        <v>17.299999999999983</v>
      </c>
      <c r="F111" s="36">
        <f t="shared" ref="F111:F121" si="39">E111/D111-1</f>
        <v>-5.7471264367828789E-3</v>
      </c>
      <c r="G111" s="36">
        <f t="shared" ref="G111:G119" si="40">D111/D$121</f>
        <v>0.17718940936863561</v>
      </c>
      <c r="H111" s="36">
        <f t="shared" ref="H111:H115" si="41">E111/E$121</f>
        <v>0.15377777777777762</v>
      </c>
      <c r="I111" s="9"/>
      <c r="J111" s="8">
        <v>2</v>
      </c>
      <c r="K111" s="8" t="s">
        <v>69</v>
      </c>
      <c r="L111" s="8">
        <v>133.4</v>
      </c>
      <c r="M111" s="8">
        <v>175.2</v>
      </c>
      <c r="N111" s="36">
        <f t="shared" ref="N111:N121" si="42">M111/L111-1</f>
        <v>0.31334332833583201</v>
      </c>
      <c r="O111" s="36">
        <f t="shared" ref="O111:P121" si="43">L111/L$121</f>
        <v>0.16909620991253646</v>
      </c>
      <c r="P111" s="36">
        <f t="shared" si="43"/>
        <v>0.16749521988527724</v>
      </c>
      <c r="R111" s="12"/>
      <c r="S111" s="12"/>
      <c r="T111" s="12"/>
      <c r="U111" s="12"/>
      <c r="V111" s="12"/>
      <c r="W111" s="13"/>
      <c r="X111" s="13"/>
      <c r="Y111" s="13"/>
    </row>
    <row r="112" spans="1:32" ht="14" customHeight="1" x14ac:dyDescent="0.25">
      <c r="A112" s="151"/>
      <c r="B112" s="8">
        <v>3</v>
      </c>
      <c r="C112" s="8" t="s">
        <v>127</v>
      </c>
      <c r="D112" s="8">
        <v>10.599999999999994</v>
      </c>
      <c r="E112" s="8">
        <v>10.400000000000006</v>
      </c>
      <c r="F112" s="36">
        <f t="shared" si="39"/>
        <v>-1.8867924528300772E-2</v>
      </c>
      <c r="G112" s="36">
        <f>D112/D$121</f>
        <v>0.10794297352342161</v>
      </c>
      <c r="H112" s="36">
        <f>E112/E$121</f>
        <v>9.2444444444444496E-2</v>
      </c>
      <c r="I112" s="9"/>
      <c r="J112" s="8">
        <v>3</v>
      </c>
      <c r="K112" s="8" t="s">
        <v>127</v>
      </c>
      <c r="L112" s="8">
        <v>87.3</v>
      </c>
      <c r="M112" s="8">
        <v>96.9</v>
      </c>
      <c r="N112" s="36">
        <f t="shared" si="42"/>
        <v>0.10996563573883167</v>
      </c>
      <c r="O112" s="36">
        <f t="shared" si="43"/>
        <v>0.11066041323361643</v>
      </c>
      <c r="P112" s="36">
        <f t="shared" si="43"/>
        <v>9.2638623326959851E-2</v>
      </c>
      <c r="R112" s="12"/>
      <c r="S112" s="12"/>
      <c r="T112" s="12"/>
      <c r="U112" s="12"/>
      <c r="V112" s="12"/>
      <c r="W112" s="13"/>
      <c r="X112" s="13"/>
      <c r="Y112" s="13"/>
    </row>
    <row r="113" spans="1:32" ht="14" customHeight="1" x14ac:dyDescent="0.25">
      <c r="A113" s="151"/>
      <c r="B113" s="8">
        <v>4</v>
      </c>
      <c r="C113" s="8" t="s">
        <v>71</v>
      </c>
      <c r="D113" s="8">
        <v>4.0999999999999979</v>
      </c>
      <c r="E113" s="8">
        <v>6.6000000000000014</v>
      </c>
      <c r="F113" s="36">
        <f t="shared" si="39"/>
        <v>0.60975609756097682</v>
      </c>
      <c r="G113" s="36">
        <f t="shared" si="40"/>
        <v>4.1751527494908361E-2</v>
      </c>
      <c r="H113" s="36">
        <f t="shared" si="41"/>
        <v>5.8666666666666679E-2</v>
      </c>
      <c r="I113" s="9"/>
      <c r="J113" s="8">
        <v>4</v>
      </c>
      <c r="K113" s="8" t="s">
        <v>71</v>
      </c>
      <c r="L113" s="8">
        <v>35.799999999999997</v>
      </c>
      <c r="M113" s="8">
        <v>50.9</v>
      </c>
      <c r="N113" s="36">
        <f t="shared" si="42"/>
        <v>0.42178770949720668</v>
      </c>
      <c r="O113" s="36">
        <f t="shared" si="43"/>
        <v>4.5379642540245908E-2</v>
      </c>
      <c r="P113" s="36">
        <f t="shared" si="43"/>
        <v>4.8661567877629062E-2</v>
      </c>
      <c r="R113" s="12"/>
      <c r="S113" s="12"/>
      <c r="T113" s="12"/>
      <c r="U113" s="12"/>
      <c r="V113" s="12"/>
      <c r="W113" s="13"/>
      <c r="X113" s="13"/>
      <c r="Y113" s="13"/>
    </row>
    <row r="114" spans="1:32" ht="14" customHeight="1" x14ac:dyDescent="0.25">
      <c r="A114" s="151"/>
      <c r="B114" s="8">
        <v>5</v>
      </c>
      <c r="C114" s="8" t="s">
        <v>70</v>
      </c>
      <c r="D114" s="8">
        <v>3.9000000000000021</v>
      </c>
      <c r="E114" s="8">
        <v>6.1999999999999957</v>
      </c>
      <c r="F114" s="36">
        <f t="shared" si="39"/>
        <v>0.58974358974358787</v>
      </c>
      <c r="G114" s="36">
        <f t="shared" si="40"/>
        <v>3.9714867617107991E-2</v>
      </c>
      <c r="H114" s="36">
        <f t="shared" si="41"/>
        <v>5.5111111111111076E-2</v>
      </c>
      <c r="I114" s="9"/>
      <c r="J114" s="8">
        <v>5</v>
      </c>
      <c r="K114" s="8" t="s">
        <v>70</v>
      </c>
      <c r="L114" s="8">
        <v>25.3</v>
      </c>
      <c r="M114" s="8">
        <v>44.9</v>
      </c>
      <c r="N114" s="36">
        <f t="shared" si="42"/>
        <v>0.77470355731225293</v>
      </c>
      <c r="O114" s="36">
        <f t="shared" si="43"/>
        <v>3.2069970845481049E-2</v>
      </c>
      <c r="P114" s="36">
        <f t="shared" si="43"/>
        <v>4.292543021032505E-2</v>
      </c>
      <c r="R114" s="12"/>
      <c r="S114" s="12"/>
      <c r="T114" s="12"/>
      <c r="U114" s="12"/>
      <c r="V114" s="12"/>
      <c r="W114" s="13"/>
      <c r="X114" s="13"/>
      <c r="Y114" s="13"/>
    </row>
    <row r="115" spans="1:32" ht="14" customHeight="1" x14ac:dyDescent="0.25">
      <c r="A115" s="151"/>
      <c r="B115" s="8">
        <v>6</v>
      </c>
      <c r="C115" s="8" t="s">
        <v>74</v>
      </c>
      <c r="D115" s="8">
        <v>2.1000000000000014</v>
      </c>
      <c r="E115" s="8">
        <v>3.8000000000000007</v>
      </c>
      <c r="F115" s="36">
        <f t="shared" si="39"/>
        <v>0.80952380952380865</v>
      </c>
      <c r="G115" s="36">
        <f t="shared" si="40"/>
        <v>2.1384928716904308E-2</v>
      </c>
      <c r="H115" s="36">
        <f t="shared" si="41"/>
        <v>3.3777777777777782E-2</v>
      </c>
      <c r="I115" s="9"/>
      <c r="J115" s="8">
        <v>6</v>
      </c>
      <c r="K115" s="8" t="s">
        <v>25</v>
      </c>
      <c r="L115" s="8">
        <v>35.6</v>
      </c>
      <c r="M115" s="8">
        <v>40.6</v>
      </c>
      <c r="N115" s="36">
        <f t="shared" si="42"/>
        <v>0.1404494382022472</v>
      </c>
      <c r="O115" s="36">
        <f t="shared" si="43"/>
        <v>4.5126124984155157E-2</v>
      </c>
      <c r="P115" s="36">
        <f t="shared" si="43"/>
        <v>3.8814531548757171E-2</v>
      </c>
      <c r="R115" s="12"/>
      <c r="S115" s="12"/>
      <c r="T115" s="12"/>
      <c r="U115" s="12"/>
      <c r="V115" s="12"/>
      <c r="W115" s="13"/>
      <c r="X115" s="13"/>
      <c r="Y115" s="13"/>
    </row>
    <row r="116" spans="1:32" ht="14" customHeight="1" x14ac:dyDescent="0.25">
      <c r="A116" s="151"/>
      <c r="B116" s="8">
        <v>7</v>
      </c>
      <c r="C116" s="8" t="s">
        <v>73</v>
      </c>
      <c r="D116" s="8">
        <v>1.8000000000000007</v>
      </c>
      <c r="E116" s="8">
        <v>3.7999999999999972</v>
      </c>
      <c r="F116" s="36">
        <f>E116/D116-1</f>
        <v>1.1111111111111085</v>
      </c>
      <c r="G116" s="36">
        <f t="shared" si="40"/>
        <v>1.8329938900203686E-2</v>
      </c>
      <c r="H116" s="36">
        <f>E116/E$121</f>
        <v>3.3777777777777754E-2</v>
      </c>
      <c r="I116" s="9"/>
      <c r="J116" s="8">
        <v>7</v>
      </c>
      <c r="K116" s="8" t="s">
        <v>72</v>
      </c>
      <c r="L116" s="8">
        <v>31.3</v>
      </c>
      <c r="M116" s="8">
        <v>38.5</v>
      </c>
      <c r="N116" s="36">
        <f t="shared" si="42"/>
        <v>0.23003194888178902</v>
      </c>
      <c r="O116" s="36">
        <f t="shared" si="43"/>
        <v>3.9675497528203832E-2</v>
      </c>
      <c r="P116" s="36">
        <f>M116/M$121</f>
        <v>3.6806883365200764E-2</v>
      </c>
      <c r="R116" s="12"/>
      <c r="S116" s="12"/>
      <c r="T116" s="12"/>
      <c r="U116" s="12"/>
      <c r="V116" s="12"/>
      <c r="W116" s="13"/>
      <c r="X116" s="13"/>
      <c r="Y116" s="13"/>
    </row>
    <row r="117" spans="1:32" ht="14" customHeight="1" x14ac:dyDescent="0.25">
      <c r="A117" s="151"/>
      <c r="B117" s="8">
        <v>8</v>
      </c>
      <c r="C117" s="8" t="s">
        <v>25</v>
      </c>
      <c r="D117" s="8">
        <v>4</v>
      </c>
      <c r="E117" s="8">
        <v>2.8999999999999986</v>
      </c>
      <c r="F117" s="36">
        <f t="shared" si="39"/>
        <v>-0.27500000000000036</v>
      </c>
      <c r="G117" s="36">
        <f t="shared" si="40"/>
        <v>4.0733197556008176E-2</v>
      </c>
      <c r="H117" s="36">
        <f t="shared" ref="H117:H119" si="44">E117/E$121</f>
        <v>2.5777777777777764E-2</v>
      </c>
      <c r="I117" s="9"/>
      <c r="J117" s="8">
        <v>8</v>
      </c>
      <c r="K117" s="8" t="s">
        <v>73</v>
      </c>
      <c r="L117" s="8">
        <v>16</v>
      </c>
      <c r="M117" s="8">
        <v>28.4</v>
      </c>
      <c r="N117" s="36">
        <f t="shared" si="42"/>
        <v>0.77499999999999991</v>
      </c>
      <c r="O117" s="36">
        <f t="shared" si="43"/>
        <v>2.0281404487260745E-2</v>
      </c>
      <c r="P117" s="36">
        <f t="shared" si="43"/>
        <v>2.7151051625239005E-2</v>
      </c>
      <c r="R117" s="12"/>
      <c r="S117" s="12"/>
      <c r="T117" s="12"/>
      <c r="U117" s="12"/>
      <c r="V117" s="12"/>
      <c r="W117" s="13"/>
      <c r="X117" s="13"/>
      <c r="Y117" s="13"/>
    </row>
    <row r="118" spans="1:32" ht="14" customHeight="1" x14ac:dyDescent="0.25">
      <c r="A118" s="151"/>
      <c r="B118" s="8">
        <v>9</v>
      </c>
      <c r="C118" s="8" t="s">
        <v>72</v>
      </c>
      <c r="D118" s="8">
        <v>3</v>
      </c>
      <c r="E118" s="8">
        <v>2.6000000000000014</v>
      </c>
      <c r="F118" s="36">
        <f t="shared" si="39"/>
        <v>-0.13333333333333286</v>
      </c>
      <c r="G118" s="36">
        <f t="shared" si="40"/>
        <v>3.054989816700613E-2</v>
      </c>
      <c r="H118" s="36">
        <f t="shared" si="44"/>
        <v>2.3111111111111124E-2</v>
      </c>
      <c r="I118" s="9"/>
      <c r="J118" s="8">
        <v>9</v>
      </c>
      <c r="K118" s="8" t="s">
        <v>74</v>
      </c>
      <c r="L118" s="8">
        <v>14.8</v>
      </c>
      <c r="M118" s="8">
        <v>27.5</v>
      </c>
      <c r="N118" s="36">
        <f t="shared" si="42"/>
        <v>0.85810810810810811</v>
      </c>
      <c r="O118" s="36">
        <f t="shared" si="43"/>
        <v>1.8760299150716187E-2</v>
      </c>
      <c r="P118" s="36">
        <f t="shared" si="43"/>
        <v>2.6290630975143402E-2</v>
      </c>
      <c r="R118" s="12"/>
      <c r="S118" s="12"/>
      <c r="T118" s="12"/>
      <c r="U118" s="12"/>
      <c r="V118" s="12"/>
      <c r="W118" s="13"/>
      <c r="X118" s="13"/>
      <c r="Y118" s="13"/>
    </row>
    <row r="119" spans="1:32" ht="14" customHeight="1" x14ac:dyDescent="0.25">
      <c r="A119" s="151"/>
      <c r="B119" s="8">
        <v>10</v>
      </c>
      <c r="C119" s="8" t="s">
        <v>128</v>
      </c>
      <c r="D119" s="8">
        <v>2.1999999999999993</v>
      </c>
      <c r="E119" s="8">
        <v>2</v>
      </c>
      <c r="F119" s="36">
        <f t="shared" si="39"/>
        <v>-9.0909090909090606E-2</v>
      </c>
      <c r="G119" s="36">
        <f t="shared" si="40"/>
        <v>2.2403258655804489E-2</v>
      </c>
      <c r="H119" s="36">
        <f t="shared" si="44"/>
        <v>1.7777777777777778E-2</v>
      </c>
      <c r="I119" s="9"/>
      <c r="J119" s="8">
        <v>10</v>
      </c>
      <c r="K119" s="8" t="s">
        <v>128</v>
      </c>
      <c r="L119" s="8">
        <v>28.5</v>
      </c>
      <c r="M119" s="8">
        <v>27.1</v>
      </c>
      <c r="N119" s="36">
        <f t="shared" si="42"/>
        <v>-4.912280701754379E-2</v>
      </c>
      <c r="O119" s="36">
        <f t="shared" si="43"/>
        <v>3.6126251742933199E-2</v>
      </c>
      <c r="P119" s="36">
        <f t="shared" si="43"/>
        <v>2.5908221797323137E-2</v>
      </c>
      <c r="R119" s="12"/>
      <c r="S119" s="12"/>
      <c r="T119" s="12"/>
      <c r="U119" s="12"/>
      <c r="V119" s="12"/>
      <c r="W119" s="13"/>
      <c r="X119" s="13"/>
      <c r="Y119" s="13"/>
    </row>
    <row r="120" spans="1:32" ht="14" customHeight="1" x14ac:dyDescent="0.25">
      <c r="A120" s="151"/>
      <c r="B120" s="8"/>
      <c r="C120" s="8" t="s">
        <v>77</v>
      </c>
      <c r="D120" s="8">
        <v>11.600000000000009</v>
      </c>
      <c r="E120" s="8">
        <v>12.199999999999989</v>
      </c>
      <c r="F120" s="36">
        <f t="shared" si="39"/>
        <v>5.1724137931032699E-2</v>
      </c>
      <c r="G120" s="36">
        <f>D120/D$121</f>
        <v>0.11812627291242379</v>
      </c>
      <c r="H120" s="36">
        <f>E120/E$121</f>
        <v>0.10844444444444434</v>
      </c>
      <c r="I120" s="9"/>
      <c r="J120" s="8"/>
      <c r="K120" s="8" t="s">
        <v>77</v>
      </c>
      <c r="L120" s="8">
        <v>83.4</v>
      </c>
      <c r="M120" s="8">
        <v>116.1</v>
      </c>
      <c r="N120" s="36">
        <f t="shared" si="42"/>
        <v>0.39208633093525158</v>
      </c>
      <c r="O120" s="36">
        <f>L120/L$121</f>
        <v>0.10571682088984663</v>
      </c>
      <c r="P120" s="36">
        <f>M120/M$121</f>
        <v>0.11099426386233269</v>
      </c>
      <c r="R120" s="12"/>
      <c r="S120" s="12"/>
      <c r="T120" s="12"/>
      <c r="U120" s="12"/>
      <c r="V120" s="12"/>
      <c r="W120" s="13"/>
      <c r="X120" s="13"/>
      <c r="Y120" s="13"/>
    </row>
    <row r="121" spans="1:32" ht="14" customHeight="1" x14ac:dyDescent="0.25">
      <c r="A121" s="151"/>
      <c r="B121" s="8"/>
      <c r="C121" s="8" t="s">
        <v>78</v>
      </c>
      <c r="D121" s="8">
        <v>98.199999999999932</v>
      </c>
      <c r="E121" s="8">
        <v>112.5</v>
      </c>
      <c r="F121" s="36">
        <f t="shared" si="39"/>
        <v>0.14562118126272994</v>
      </c>
      <c r="G121" s="36">
        <f t="shared" ref="G121" si="45">D121/D$121</f>
        <v>1</v>
      </c>
      <c r="H121" s="36">
        <f t="shared" ref="H121" si="46">E121/E$121</f>
        <v>1</v>
      </c>
      <c r="I121" s="9"/>
      <c r="J121" s="8"/>
      <c r="K121" s="8" t="s">
        <v>78</v>
      </c>
      <c r="L121" s="8">
        <v>788.9</v>
      </c>
      <c r="M121" s="8">
        <v>1046</v>
      </c>
      <c r="N121" s="36">
        <f t="shared" si="42"/>
        <v>0.3258968183546711</v>
      </c>
      <c r="O121" s="36">
        <f t="shared" si="43"/>
        <v>1</v>
      </c>
      <c r="P121" s="36">
        <f t="shared" si="43"/>
        <v>1</v>
      </c>
      <c r="R121" s="12"/>
      <c r="S121" s="12"/>
      <c r="T121" s="12"/>
      <c r="U121" s="12"/>
      <c r="V121" s="12"/>
      <c r="W121" s="13"/>
      <c r="X121" s="13"/>
      <c r="Y121" s="13"/>
    </row>
    <row r="122" spans="1:32" ht="14" customHeight="1" x14ac:dyDescent="0.25">
      <c r="A122" s="154"/>
      <c r="B122" s="11"/>
      <c r="J122" s="11"/>
    </row>
    <row r="123" spans="1:32" ht="14" customHeight="1" x14ac:dyDescent="0.25">
      <c r="A123" s="154"/>
      <c r="B123" s="11" t="s">
        <v>79</v>
      </c>
      <c r="J123" s="11" t="s">
        <v>80</v>
      </c>
    </row>
    <row r="124" spans="1:32" s="216" customFormat="1" ht="14" customHeight="1" x14ac:dyDescent="0.25">
      <c r="A124" s="154"/>
      <c r="B124" s="36" t="s">
        <v>582</v>
      </c>
      <c r="C124" s="36" t="s">
        <v>335</v>
      </c>
      <c r="D124" s="140">
        <v>45566</v>
      </c>
      <c r="E124" s="140">
        <v>45931</v>
      </c>
      <c r="F124" s="36" t="s">
        <v>34</v>
      </c>
      <c r="G124" s="36" t="s">
        <v>669</v>
      </c>
      <c r="H124" s="36" t="s">
        <v>670</v>
      </c>
      <c r="J124" s="36" t="s">
        <v>582</v>
      </c>
      <c r="K124" s="36" t="s">
        <v>335</v>
      </c>
      <c r="L124" s="36" t="s">
        <v>673</v>
      </c>
      <c r="M124" s="36" t="s">
        <v>674</v>
      </c>
      <c r="N124" s="36" t="s">
        <v>34</v>
      </c>
      <c r="O124" s="36" t="s">
        <v>669</v>
      </c>
      <c r="P124" s="36" t="s">
        <v>670</v>
      </c>
      <c r="R124" s="141"/>
      <c r="S124" s="141"/>
      <c r="T124" s="141"/>
      <c r="U124" s="141"/>
      <c r="V124" s="142"/>
      <c r="W124" s="142"/>
      <c r="X124" s="142"/>
      <c r="AA124" s="12"/>
      <c r="AB124" s="12"/>
      <c r="AC124" s="12"/>
      <c r="AD124" s="13"/>
      <c r="AE124" s="13"/>
      <c r="AF124" s="13"/>
    </row>
    <row r="125" spans="1:32" ht="14" customHeight="1" x14ac:dyDescent="0.25">
      <c r="A125" s="151"/>
      <c r="B125" s="8">
        <v>1</v>
      </c>
      <c r="C125" s="8" t="s">
        <v>68</v>
      </c>
      <c r="D125" s="8">
        <v>34</v>
      </c>
      <c r="E125" s="8">
        <v>58</v>
      </c>
      <c r="F125" s="36">
        <f>E125/D125-1</f>
        <v>0.70588235294117641</v>
      </c>
      <c r="G125" s="36">
        <f t="shared" ref="G125:H132" si="47">D125/D$136</f>
        <v>0.38505096262740629</v>
      </c>
      <c r="H125" s="36">
        <f t="shared" si="47"/>
        <v>0.47619047619047639</v>
      </c>
      <c r="I125" s="9"/>
      <c r="J125" s="8">
        <v>1</v>
      </c>
      <c r="K125" s="8" t="s">
        <v>68</v>
      </c>
      <c r="L125" s="8">
        <v>260</v>
      </c>
      <c r="M125" s="8">
        <v>355.2</v>
      </c>
      <c r="N125" s="36">
        <f>M125/L125-1</f>
        <v>0.36615384615384605</v>
      </c>
      <c r="O125" s="36">
        <f>L125/$L$136</f>
        <v>0.3764297089908788</v>
      </c>
      <c r="P125" s="36">
        <f>M125/$M$136</f>
        <v>0.38050348152115693</v>
      </c>
      <c r="R125" s="12"/>
      <c r="S125" s="12"/>
      <c r="T125" s="12"/>
      <c r="U125" s="12"/>
      <c r="V125" s="12"/>
      <c r="W125" s="13"/>
      <c r="X125" s="13"/>
      <c r="Y125" s="13"/>
    </row>
    <row r="126" spans="1:32" ht="14" customHeight="1" x14ac:dyDescent="0.25">
      <c r="A126" s="151"/>
      <c r="B126" s="8">
        <v>2</v>
      </c>
      <c r="C126" s="8" t="s">
        <v>69</v>
      </c>
      <c r="D126" s="8">
        <v>16.400000000000006</v>
      </c>
      <c r="E126" s="8">
        <v>12.900000000000006</v>
      </c>
      <c r="F126" s="36">
        <f t="shared" ref="F126:F136" si="48">E126/D126-1</f>
        <v>-0.21341463414634143</v>
      </c>
      <c r="G126" s="36">
        <f t="shared" si="47"/>
        <v>0.18573046432616075</v>
      </c>
      <c r="H126" s="36">
        <f t="shared" si="47"/>
        <v>0.10591133004926118</v>
      </c>
      <c r="I126" s="9"/>
      <c r="J126" s="8">
        <v>2</v>
      </c>
      <c r="K126" s="8" t="s">
        <v>69</v>
      </c>
      <c r="L126" s="8">
        <v>116</v>
      </c>
      <c r="M126" s="8">
        <v>157.9</v>
      </c>
      <c r="N126" s="36">
        <f t="shared" ref="N126:N136" si="49">M126/L126-1</f>
        <v>0.36120689655172411</v>
      </c>
      <c r="O126" s="36">
        <f t="shared" ref="O126:O135" si="50">L126/$L$136</f>
        <v>0.16794556247285361</v>
      </c>
      <c r="P126" s="36">
        <f t="shared" ref="P126:P135" si="51">M126/$M$136</f>
        <v>0.16914836636314945</v>
      </c>
      <c r="R126" s="12"/>
      <c r="S126" s="12"/>
      <c r="T126" s="12"/>
      <c r="U126" s="12"/>
      <c r="V126" s="12"/>
      <c r="W126" s="13"/>
      <c r="X126" s="13"/>
      <c r="Y126" s="13"/>
    </row>
    <row r="127" spans="1:32" ht="14" customHeight="1" x14ac:dyDescent="0.25">
      <c r="A127" s="151"/>
      <c r="B127" s="8">
        <v>3</v>
      </c>
      <c r="C127" s="8" t="s">
        <v>70</v>
      </c>
      <c r="D127" s="8">
        <v>3.5</v>
      </c>
      <c r="E127" s="8">
        <v>9.0000000000000036</v>
      </c>
      <c r="F127" s="36">
        <f t="shared" si="48"/>
        <v>1.5714285714285725</v>
      </c>
      <c r="G127" s="36">
        <f t="shared" si="47"/>
        <v>3.9637599093997701E-2</v>
      </c>
      <c r="H127" s="36">
        <f>E127/E$136</f>
        <v>7.3891625615763609E-2</v>
      </c>
      <c r="I127" s="9"/>
      <c r="J127" s="8">
        <v>3</v>
      </c>
      <c r="K127" s="8" t="s">
        <v>127</v>
      </c>
      <c r="L127" s="8">
        <v>76.7</v>
      </c>
      <c r="M127" s="8">
        <v>86.5</v>
      </c>
      <c r="N127" s="36">
        <f t="shared" si="49"/>
        <v>0.1277705345501956</v>
      </c>
      <c r="O127" s="36">
        <f t="shared" si="50"/>
        <v>0.11104676415230925</v>
      </c>
      <c r="P127" s="36">
        <f t="shared" si="51"/>
        <v>9.2662024638457421E-2</v>
      </c>
      <c r="R127" s="12"/>
      <c r="S127" s="12"/>
      <c r="T127" s="12"/>
      <c r="U127" s="12"/>
      <c r="V127" s="12"/>
      <c r="W127" s="13"/>
      <c r="X127" s="13"/>
      <c r="Y127" s="13"/>
    </row>
    <row r="128" spans="1:32" ht="14" customHeight="1" x14ac:dyDescent="0.25">
      <c r="A128" s="151"/>
      <c r="B128" s="8">
        <v>4</v>
      </c>
      <c r="C128" s="8" t="s">
        <v>127</v>
      </c>
      <c r="D128" s="8">
        <v>7.2000000000000028</v>
      </c>
      <c r="E128" s="8">
        <v>6.7999999999999972</v>
      </c>
      <c r="F128" s="36">
        <f t="shared" si="48"/>
        <v>-5.5555555555556357E-2</v>
      </c>
      <c r="G128" s="36">
        <f t="shared" si="47"/>
        <v>8.1540203850509599E-2</v>
      </c>
      <c r="H128" s="36">
        <f t="shared" si="47"/>
        <v>5.5829228243021341E-2</v>
      </c>
      <c r="I128" s="9"/>
      <c r="J128" s="8">
        <v>4</v>
      </c>
      <c r="K128" s="8" t="s">
        <v>71</v>
      </c>
      <c r="L128" s="8">
        <v>31.7</v>
      </c>
      <c r="M128" s="8">
        <v>44.3</v>
      </c>
      <c r="N128" s="36">
        <f t="shared" si="49"/>
        <v>0.39747634069400628</v>
      </c>
      <c r="O128" s="36">
        <f t="shared" si="50"/>
        <v>4.5895468365426378E-2</v>
      </c>
      <c r="P128" s="36">
        <f t="shared" si="51"/>
        <v>4.745581146223888E-2</v>
      </c>
      <c r="R128" s="12"/>
      <c r="S128" s="12"/>
      <c r="T128" s="12"/>
      <c r="U128" s="12"/>
      <c r="V128" s="12"/>
      <c r="W128" s="13"/>
      <c r="X128" s="13"/>
      <c r="Y128" s="13"/>
    </row>
    <row r="129" spans="1:32" ht="14" customHeight="1" x14ac:dyDescent="0.25">
      <c r="A129" s="151"/>
      <c r="B129" s="8">
        <v>5</v>
      </c>
      <c r="C129" s="8" t="s">
        <v>71</v>
      </c>
      <c r="D129" s="8">
        <v>4</v>
      </c>
      <c r="E129" s="8">
        <v>5</v>
      </c>
      <c r="F129" s="36">
        <f t="shared" si="48"/>
        <v>0.25</v>
      </c>
      <c r="G129" s="36">
        <f t="shared" si="47"/>
        <v>4.5300113250283089E-2</v>
      </c>
      <c r="H129" s="36">
        <f t="shared" si="47"/>
        <v>4.1050903119868649E-2</v>
      </c>
      <c r="I129" s="9"/>
      <c r="J129" s="8">
        <v>5</v>
      </c>
      <c r="K129" s="8" t="s">
        <v>70</v>
      </c>
      <c r="L129" s="8">
        <v>21.4</v>
      </c>
      <c r="M129" s="8">
        <v>38.700000000000003</v>
      </c>
      <c r="N129" s="36">
        <f t="shared" si="49"/>
        <v>0.80841121495327117</v>
      </c>
      <c r="O129" s="36">
        <f t="shared" si="50"/>
        <v>3.0983060663095405E-2</v>
      </c>
      <c r="P129" s="36">
        <f t="shared" si="51"/>
        <v>4.1456882699517944E-2</v>
      </c>
      <c r="R129" s="12"/>
      <c r="S129" s="12"/>
      <c r="T129" s="12"/>
      <c r="U129" s="12"/>
      <c r="V129" s="12"/>
      <c r="W129" s="13"/>
      <c r="X129" s="13"/>
      <c r="Y129" s="13"/>
    </row>
    <row r="130" spans="1:32" ht="14" customHeight="1" x14ac:dyDescent="0.25">
      <c r="A130" s="151"/>
      <c r="B130" s="8">
        <v>6</v>
      </c>
      <c r="C130" s="8" t="s">
        <v>25</v>
      </c>
      <c r="D130" s="8">
        <v>3.8000000000000007</v>
      </c>
      <c r="E130" s="8">
        <v>3.2000000000000028</v>
      </c>
      <c r="F130" s="36">
        <f t="shared" si="48"/>
        <v>-0.15789473684210464</v>
      </c>
      <c r="G130" s="36">
        <f t="shared" si="47"/>
        <v>4.3035107587768948E-2</v>
      </c>
      <c r="H130" s="36">
        <f t="shared" si="47"/>
        <v>2.6272577996715962E-2</v>
      </c>
      <c r="I130" s="9"/>
      <c r="J130" s="8">
        <v>6</v>
      </c>
      <c r="K130" s="8" t="s">
        <v>25</v>
      </c>
      <c r="L130" s="8">
        <v>31.6</v>
      </c>
      <c r="M130" s="8">
        <v>37.700000000000003</v>
      </c>
      <c r="N130" s="36">
        <f t="shared" si="49"/>
        <v>0.19303797468354444</v>
      </c>
      <c r="O130" s="36">
        <f t="shared" si="50"/>
        <v>4.5750687708122191E-2</v>
      </c>
      <c r="P130" s="36">
        <f t="shared" si="51"/>
        <v>4.0385645420460636E-2</v>
      </c>
      <c r="R130" s="12"/>
      <c r="S130" s="12"/>
      <c r="T130" s="12"/>
      <c r="U130" s="12"/>
      <c r="V130" s="12"/>
      <c r="W130" s="13"/>
      <c r="X130" s="13"/>
      <c r="Y130" s="13"/>
    </row>
    <row r="131" spans="1:32" ht="14" customHeight="1" x14ac:dyDescent="0.25">
      <c r="A131" s="151"/>
      <c r="B131" s="8">
        <v>7</v>
      </c>
      <c r="C131" s="8" t="s">
        <v>74</v>
      </c>
      <c r="D131" s="8">
        <v>1.8999999999999986</v>
      </c>
      <c r="E131" s="8">
        <v>3.1999999999999993</v>
      </c>
      <c r="F131" s="36">
        <f t="shared" si="48"/>
        <v>0.68421052631579027</v>
      </c>
      <c r="G131" s="36">
        <f t="shared" si="47"/>
        <v>2.1517553793884453E-2</v>
      </c>
      <c r="H131" s="36">
        <f t="shared" si="47"/>
        <v>2.627257799671593E-2</v>
      </c>
      <c r="I131" s="9"/>
      <c r="J131" s="8">
        <v>7</v>
      </c>
      <c r="K131" s="8" t="s">
        <v>72</v>
      </c>
      <c r="L131" s="8">
        <v>28.3</v>
      </c>
      <c r="M131" s="8">
        <v>35.9</v>
      </c>
      <c r="N131" s="36">
        <f t="shared" si="49"/>
        <v>0.26855123674911652</v>
      </c>
      <c r="O131" s="36">
        <f t="shared" si="50"/>
        <v>4.0972926017084119E-2</v>
      </c>
      <c r="P131" s="36">
        <f t="shared" si="51"/>
        <v>3.8457418318157473E-2</v>
      </c>
      <c r="R131" s="12"/>
      <c r="S131" s="12"/>
      <c r="T131" s="12"/>
      <c r="U131" s="12"/>
      <c r="V131" s="12"/>
      <c r="W131" s="13"/>
      <c r="X131" s="13"/>
      <c r="Y131" s="13"/>
    </row>
    <row r="132" spans="1:32" ht="14" customHeight="1" x14ac:dyDescent="0.25">
      <c r="A132" s="151"/>
      <c r="B132" s="8">
        <v>8</v>
      </c>
      <c r="C132" s="8" t="s">
        <v>72</v>
      </c>
      <c r="D132" s="8">
        <v>3.1999999999999993</v>
      </c>
      <c r="E132" s="8">
        <v>2.8999999999999986</v>
      </c>
      <c r="F132" s="36">
        <f t="shared" si="48"/>
        <v>-9.3750000000000222E-2</v>
      </c>
      <c r="G132" s="36">
        <f t="shared" si="47"/>
        <v>3.6240090600226461E-2</v>
      </c>
      <c r="H132" s="36">
        <f t="shared" si="47"/>
        <v>2.3809523809523808E-2</v>
      </c>
      <c r="I132" s="9"/>
      <c r="J132" s="8">
        <v>8</v>
      </c>
      <c r="K132" s="8" t="s">
        <v>128</v>
      </c>
      <c r="L132" s="8">
        <v>26.3</v>
      </c>
      <c r="M132" s="8">
        <v>25.1</v>
      </c>
      <c r="N132" s="36">
        <f t="shared" si="49"/>
        <v>-4.5627376425855459E-2</v>
      </c>
      <c r="O132" s="36">
        <f t="shared" si="50"/>
        <v>3.8077312871000434E-2</v>
      </c>
      <c r="P132" s="36">
        <f t="shared" si="51"/>
        <v>2.6888055704338512E-2</v>
      </c>
      <c r="R132" s="12"/>
      <c r="S132" s="12"/>
      <c r="T132" s="12"/>
      <c r="U132" s="12"/>
      <c r="V132" s="12"/>
      <c r="W132" s="13"/>
      <c r="X132" s="13"/>
      <c r="Y132" s="13"/>
    </row>
    <row r="133" spans="1:32" ht="14" customHeight="1" x14ac:dyDescent="0.25">
      <c r="A133" s="151"/>
      <c r="B133" s="8">
        <v>9</v>
      </c>
      <c r="C133" s="8" t="s">
        <v>73</v>
      </c>
      <c r="D133" s="8">
        <v>1.5</v>
      </c>
      <c r="E133" s="8">
        <v>2.7000000000000028</v>
      </c>
      <c r="F133" s="36">
        <f t="shared" si="48"/>
        <v>0.80000000000000182</v>
      </c>
      <c r="G133" s="36">
        <f t="shared" ref="G133:H134" si="52">D133/D$136</f>
        <v>1.698754246885616E-2</v>
      </c>
      <c r="H133" s="36">
        <f t="shared" si="52"/>
        <v>2.2167487684729096E-2</v>
      </c>
      <c r="I133" s="9"/>
      <c r="J133" s="8">
        <v>9</v>
      </c>
      <c r="K133" s="8" t="s">
        <v>73</v>
      </c>
      <c r="L133" s="8">
        <v>14.2</v>
      </c>
      <c r="M133" s="8">
        <v>24.6</v>
      </c>
      <c r="N133" s="36">
        <f t="shared" si="49"/>
        <v>0.73239436619718323</v>
      </c>
      <c r="O133" s="36">
        <f t="shared" si="50"/>
        <v>2.055885333719415E-2</v>
      </c>
      <c r="P133" s="36">
        <f t="shared" si="51"/>
        <v>2.6352437064809858E-2</v>
      </c>
      <c r="R133" s="12"/>
      <c r="S133" s="12"/>
      <c r="T133" s="12"/>
      <c r="U133" s="12"/>
      <c r="V133" s="12"/>
      <c r="W133" s="13"/>
      <c r="X133" s="13"/>
      <c r="Y133" s="13"/>
    </row>
    <row r="134" spans="1:32" ht="14" customHeight="1" x14ac:dyDescent="0.25">
      <c r="A134" s="151"/>
      <c r="B134" s="8">
        <v>10</v>
      </c>
      <c r="C134" s="8" t="s">
        <v>128</v>
      </c>
      <c r="D134" s="8">
        <v>2.1000000000000014</v>
      </c>
      <c r="E134" s="8">
        <v>2.1000000000000014</v>
      </c>
      <c r="F134" s="36">
        <f t="shared" si="48"/>
        <v>0</v>
      </c>
      <c r="G134" s="36">
        <f t="shared" si="52"/>
        <v>2.3782559456398639E-2</v>
      </c>
      <c r="H134" s="36">
        <f t="shared" si="52"/>
        <v>1.7241379310344845E-2</v>
      </c>
      <c r="I134" s="9"/>
      <c r="J134" s="8">
        <v>10</v>
      </c>
      <c r="K134" s="8" t="s">
        <v>74</v>
      </c>
      <c r="L134" s="8">
        <v>12.7</v>
      </c>
      <c r="M134" s="8">
        <v>23.7</v>
      </c>
      <c r="N134" s="36">
        <f t="shared" si="49"/>
        <v>0.86614173228346458</v>
      </c>
      <c r="O134" s="36">
        <f t="shared" si="50"/>
        <v>1.8387143477631387E-2</v>
      </c>
      <c r="P134" s="36">
        <f t="shared" si="51"/>
        <v>2.5388323513658273E-2</v>
      </c>
      <c r="R134" s="12"/>
      <c r="S134" s="12"/>
      <c r="T134" s="12"/>
      <c r="U134" s="12"/>
      <c r="V134" s="12"/>
      <c r="W134" s="13"/>
      <c r="X134" s="13"/>
      <c r="Y134" s="13"/>
    </row>
    <row r="135" spans="1:32" ht="14" customHeight="1" x14ac:dyDescent="0.25">
      <c r="A135" s="151"/>
      <c r="B135" s="8"/>
      <c r="C135" s="8" t="s">
        <v>77</v>
      </c>
      <c r="D135" s="8">
        <v>10.700000000000045</v>
      </c>
      <c r="E135" s="8">
        <v>15.999999999999943</v>
      </c>
      <c r="F135" s="36">
        <f t="shared" si="48"/>
        <v>0.49532710280372672</v>
      </c>
      <c r="G135" s="36">
        <f>D135/D$136</f>
        <v>0.12117780294450778</v>
      </c>
      <c r="H135" s="36">
        <f>E135/E$136</f>
        <v>0.13136288998357923</v>
      </c>
      <c r="I135" s="9"/>
      <c r="J135" s="8"/>
      <c r="K135" s="8" t="s">
        <v>77</v>
      </c>
      <c r="L135" s="8">
        <v>71.8</v>
      </c>
      <c r="M135" s="8">
        <v>103.9</v>
      </c>
      <c r="N135" s="36">
        <f t="shared" si="49"/>
        <v>0.44707520891364916</v>
      </c>
      <c r="O135" s="36">
        <f t="shared" si="50"/>
        <v>0.10395251194440422</v>
      </c>
      <c r="P135" s="36">
        <f t="shared" si="51"/>
        <v>0.11130155329405464</v>
      </c>
      <c r="R135" s="12"/>
      <c r="S135" s="12"/>
      <c r="T135" s="12"/>
      <c r="U135" s="12"/>
      <c r="V135" s="12"/>
      <c r="W135" s="13"/>
      <c r="X135" s="13"/>
      <c r="Y135" s="13"/>
    </row>
    <row r="136" spans="1:32" ht="14" customHeight="1" x14ac:dyDescent="0.25">
      <c r="A136" s="151"/>
      <c r="B136" s="8"/>
      <c r="C136" s="8" t="s">
        <v>78</v>
      </c>
      <c r="D136" s="8">
        <f t="shared" ref="D136:E136" si="53">L136-L151</f>
        <v>88.300000000000068</v>
      </c>
      <c r="E136" s="8">
        <f t="shared" si="53"/>
        <v>121.79999999999995</v>
      </c>
      <c r="F136" s="36">
        <f t="shared" si="48"/>
        <v>0.37938844847111963</v>
      </c>
      <c r="G136" s="36">
        <f>D136/D$136</f>
        <v>1</v>
      </c>
      <c r="H136" s="36">
        <f>E136/E$136</f>
        <v>1</v>
      </c>
      <c r="I136" s="9"/>
      <c r="J136" s="8"/>
      <c r="K136" s="8" t="s">
        <v>78</v>
      </c>
      <c r="L136" s="8">
        <v>690.7</v>
      </c>
      <c r="M136" s="8">
        <v>933.5</v>
      </c>
      <c r="N136" s="36">
        <f t="shared" si="49"/>
        <v>0.35152743593455904</v>
      </c>
      <c r="O136" s="36">
        <f>L136/L$136</f>
        <v>1</v>
      </c>
      <c r="P136" s="36">
        <f>M136/$M136</f>
        <v>1</v>
      </c>
      <c r="R136" s="12"/>
      <c r="S136" s="12"/>
      <c r="T136" s="12"/>
      <c r="U136" s="12"/>
      <c r="V136" s="12"/>
      <c r="W136" s="13"/>
      <c r="X136" s="13"/>
      <c r="Y136" s="13"/>
    </row>
    <row r="137" spans="1:32" ht="14" customHeight="1" x14ac:dyDescent="0.25">
      <c r="A137" s="154"/>
      <c r="B137" s="11"/>
      <c r="J137" s="11"/>
    </row>
    <row r="138" spans="1:32" ht="14" customHeight="1" x14ac:dyDescent="0.25">
      <c r="A138" s="154"/>
      <c r="B138" s="11" t="s">
        <v>81</v>
      </c>
      <c r="J138" s="11" t="s">
        <v>82</v>
      </c>
    </row>
    <row r="139" spans="1:32" s="216" customFormat="1" ht="14" customHeight="1" x14ac:dyDescent="0.25">
      <c r="A139" s="154"/>
      <c r="B139" s="36" t="s">
        <v>582</v>
      </c>
      <c r="C139" s="36" t="s">
        <v>335</v>
      </c>
      <c r="D139" s="140">
        <v>45536</v>
      </c>
      <c r="E139" s="140">
        <v>45901</v>
      </c>
      <c r="F139" s="36" t="s">
        <v>34</v>
      </c>
      <c r="G139" s="36" t="s">
        <v>669</v>
      </c>
      <c r="H139" s="36" t="s">
        <v>670</v>
      </c>
      <c r="J139" s="36" t="s">
        <v>582</v>
      </c>
      <c r="K139" s="36" t="s">
        <v>335</v>
      </c>
      <c r="L139" s="36" t="s">
        <v>675</v>
      </c>
      <c r="M139" s="36" t="s">
        <v>676</v>
      </c>
      <c r="N139" s="36" t="s">
        <v>34</v>
      </c>
      <c r="O139" s="36" t="s">
        <v>669</v>
      </c>
      <c r="P139" s="36" t="s">
        <v>670</v>
      </c>
      <c r="R139" s="141"/>
      <c r="S139" s="141"/>
      <c r="T139" s="141"/>
      <c r="U139" s="141"/>
      <c r="V139" s="142"/>
      <c r="W139" s="142"/>
      <c r="X139" s="142"/>
      <c r="AA139" s="12"/>
      <c r="AB139" s="12"/>
      <c r="AC139" s="12"/>
      <c r="AD139" s="13"/>
      <c r="AE139" s="13"/>
      <c r="AF139" s="13"/>
    </row>
    <row r="140" spans="1:32" ht="14" customHeight="1" x14ac:dyDescent="0.25">
      <c r="A140" s="151"/>
      <c r="B140" s="8">
        <v>1</v>
      </c>
      <c r="C140" s="8" t="s">
        <v>68</v>
      </c>
      <c r="D140" s="8">
        <v>33</v>
      </c>
      <c r="E140" s="8">
        <v>42.7</v>
      </c>
      <c r="F140" s="36">
        <v>0.29399999999999998</v>
      </c>
      <c r="G140" s="36">
        <v>0.36799999999999999</v>
      </c>
      <c r="H140" s="36">
        <v>0.35499999999999998</v>
      </c>
      <c r="I140" s="9"/>
      <c r="J140" s="8">
        <v>1</v>
      </c>
      <c r="K140" s="8" t="s">
        <v>68</v>
      </c>
      <c r="L140" s="8">
        <v>226</v>
      </c>
      <c r="M140" s="8">
        <v>297.2</v>
      </c>
      <c r="N140" s="36">
        <v>0.315</v>
      </c>
      <c r="O140" s="36">
        <v>0.375</v>
      </c>
      <c r="P140" s="36">
        <v>0.36599999999999999</v>
      </c>
      <c r="R140" s="12"/>
      <c r="S140" s="12"/>
      <c r="T140" s="12"/>
      <c r="U140" s="12"/>
      <c r="V140" s="12"/>
      <c r="W140" s="13"/>
      <c r="X140" s="13"/>
      <c r="Y140" s="13"/>
    </row>
    <row r="141" spans="1:32" ht="14" customHeight="1" x14ac:dyDescent="0.25">
      <c r="A141" s="151"/>
      <c r="B141" s="8">
        <v>2</v>
      </c>
      <c r="C141" s="8" t="s">
        <v>69</v>
      </c>
      <c r="D141" s="8">
        <v>16.600000000000001</v>
      </c>
      <c r="E141" s="8">
        <v>20.2</v>
      </c>
      <c r="F141" s="36">
        <v>0.217</v>
      </c>
      <c r="G141" s="36">
        <v>0.185</v>
      </c>
      <c r="H141" s="36">
        <v>0.16800000000000001</v>
      </c>
      <c r="I141" s="9"/>
      <c r="J141" s="8">
        <v>2</v>
      </c>
      <c r="K141" s="8" t="s">
        <v>69</v>
      </c>
      <c r="L141" s="8">
        <v>99.6</v>
      </c>
      <c r="M141" s="8">
        <v>145</v>
      </c>
      <c r="N141" s="36">
        <v>0.45600000000000002</v>
      </c>
      <c r="O141" s="36">
        <v>0.16500000000000001</v>
      </c>
      <c r="P141" s="36">
        <v>0.17899999999999999</v>
      </c>
      <c r="R141" s="12"/>
      <c r="S141" s="12"/>
      <c r="T141" s="12"/>
      <c r="U141" s="12"/>
      <c r="V141" s="12"/>
      <c r="W141" s="13"/>
      <c r="X141" s="13"/>
      <c r="Y141" s="13"/>
    </row>
    <row r="142" spans="1:32" ht="14" customHeight="1" x14ac:dyDescent="0.25">
      <c r="A142" s="151"/>
      <c r="B142" s="8">
        <v>3</v>
      </c>
      <c r="C142" s="8" t="s">
        <v>70</v>
      </c>
      <c r="D142" s="8">
        <v>10</v>
      </c>
      <c r="E142" s="8">
        <v>12.3</v>
      </c>
      <c r="F142" s="36">
        <v>0.23</v>
      </c>
      <c r="G142" s="36">
        <v>0.111</v>
      </c>
      <c r="H142" s="36">
        <v>0.10199999999999999</v>
      </c>
      <c r="I142" s="9"/>
      <c r="J142" s="8">
        <v>3</v>
      </c>
      <c r="K142" s="8" t="s">
        <v>127</v>
      </c>
      <c r="L142" s="8">
        <v>69.5</v>
      </c>
      <c r="M142" s="8">
        <v>79.7</v>
      </c>
      <c r="N142" s="36">
        <v>0.14699999999999999</v>
      </c>
      <c r="O142" s="36">
        <v>0.115</v>
      </c>
      <c r="P142" s="36">
        <v>9.8000000000000004E-2</v>
      </c>
      <c r="R142" s="12"/>
      <c r="S142" s="12"/>
      <c r="T142" s="12"/>
      <c r="U142" s="12"/>
      <c r="V142" s="12"/>
      <c r="W142" s="13"/>
      <c r="X142" s="13"/>
      <c r="Y142" s="13"/>
    </row>
    <row r="143" spans="1:32" ht="14" customHeight="1" x14ac:dyDescent="0.25">
      <c r="A143" s="151"/>
      <c r="B143" s="8">
        <v>4</v>
      </c>
      <c r="C143" s="8" t="s">
        <v>127</v>
      </c>
      <c r="D143" s="8">
        <v>3.4</v>
      </c>
      <c r="E143" s="8">
        <v>7.2</v>
      </c>
      <c r="F143" s="36">
        <v>1.1180000000000001</v>
      </c>
      <c r="G143" s="36">
        <v>3.7999999999999999E-2</v>
      </c>
      <c r="H143" s="36">
        <v>0.06</v>
      </c>
      <c r="I143" s="9"/>
      <c r="J143" s="8">
        <v>4</v>
      </c>
      <c r="K143" s="8" t="s">
        <v>71</v>
      </c>
      <c r="L143" s="8">
        <v>27.7</v>
      </c>
      <c r="M143" s="8">
        <v>39.299999999999997</v>
      </c>
      <c r="N143" s="36">
        <v>0.41499999999999998</v>
      </c>
      <c r="O143" s="36">
        <v>4.5999999999999999E-2</v>
      </c>
      <c r="P143" s="36">
        <v>4.8000000000000001E-2</v>
      </c>
      <c r="R143" s="12"/>
      <c r="S143" s="12"/>
      <c r="T143" s="12"/>
      <c r="U143" s="12"/>
      <c r="V143" s="12"/>
      <c r="W143" s="13"/>
      <c r="X143" s="13"/>
      <c r="Y143" s="13"/>
    </row>
    <row r="144" spans="1:32" ht="14" customHeight="1" x14ac:dyDescent="0.25">
      <c r="A144" s="151"/>
      <c r="B144" s="8">
        <v>5</v>
      </c>
      <c r="C144" s="8" t="s">
        <v>71</v>
      </c>
      <c r="D144" s="8">
        <v>2.9</v>
      </c>
      <c r="E144" s="8">
        <v>7.2</v>
      </c>
      <c r="F144" s="36">
        <v>1.4830000000000001</v>
      </c>
      <c r="G144" s="36">
        <v>3.2000000000000001E-2</v>
      </c>
      <c r="H144" s="36">
        <v>0.06</v>
      </c>
      <c r="I144" s="9"/>
      <c r="J144" s="8">
        <v>5</v>
      </c>
      <c r="K144" s="8" t="s">
        <v>25</v>
      </c>
      <c r="L144" s="8">
        <v>27.8</v>
      </c>
      <c r="M144" s="8">
        <v>34.5</v>
      </c>
      <c r="N144" s="36">
        <v>0.24</v>
      </c>
      <c r="O144" s="36">
        <v>4.5999999999999999E-2</v>
      </c>
      <c r="P144" s="36">
        <v>4.2000000000000003E-2</v>
      </c>
      <c r="R144" s="12"/>
      <c r="S144" s="12"/>
      <c r="T144" s="12"/>
      <c r="U144" s="12"/>
      <c r="V144" s="12"/>
      <c r="W144" s="13"/>
      <c r="X144" s="13"/>
      <c r="Y144" s="13"/>
    </row>
    <row r="145" spans="1:32" ht="14" customHeight="1" x14ac:dyDescent="0.25">
      <c r="A145" s="151"/>
      <c r="B145" s="8">
        <v>6</v>
      </c>
      <c r="C145" s="8" t="s">
        <v>25</v>
      </c>
      <c r="D145" s="8">
        <v>3.5</v>
      </c>
      <c r="E145" s="8">
        <v>5.3</v>
      </c>
      <c r="F145" s="36">
        <v>0.51400000000000001</v>
      </c>
      <c r="G145" s="36">
        <v>3.9E-2</v>
      </c>
      <c r="H145" s="36">
        <v>4.3999999999999997E-2</v>
      </c>
      <c r="I145" s="9"/>
      <c r="J145" s="8">
        <v>6</v>
      </c>
      <c r="K145" s="8" t="s">
        <v>72</v>
      </c>
      <c r="L145" s="8">
        <v>25.1</v>
      </c>
      <c r="M145" s="8">
        <v>33</v>
      </c>
      <c r="N145" s="36">
        <v>0.312</v>
      </c>
      <c r="O145" s="36">
        <v>4.2000000000000003E-2</v>
      </c>
      <c r="P145" s="36">
        <v>4.1000000000000002E-2</v>
      </c>
      <c r="R145" s="12"/>
      <c r="S145" s="12"/>
      <c r="T145" s="12"/>
      <c r="U145" s="12"/>
      <c r="V145" s="12"/>
      <c r="W145" s="13"/>
      <c r="X145" s="13"/>
      <c r="Y145" s="13"/>
    </row>
    <row r="146" spans="1:32" ht="14" customHeight="1" x14ac:dyDescent="0.25">
      <c r="A146" s="151"/>
      <c r="B146" s="8">
        <v>7</v>
      </c>
      <c r="C146" s="8" t="s">
        <v>72</v>
      </c>
      <c r="D146" s="8">
        <v>3.3</v>
      </c>
      <c r="E146" s="8">
        <v>4.5999999999999996</v>
      </c>
      <c r="F146" s="36">
        <v>0.39400000000000002</v>
      </c>
      <c r="G146" s="36">
        <v>3.6999999999999998E-2</v>
      </c>
      <c r="H146" s="36">
        <v>3.7999999999999999E-2</v>
      </c>
      <c r="I146" s="9"/>
      <c r="J146" s="8">
        <v>7</v>
      </c>
      <c r="K146" s="8" t="s">
        <v>70</v>
      </c>
      <c r="L146" s="8">
        <v>17.899999999999999</v>
      </c>
      <c r="M146" s="8">
        <v>29.7</v>
      </c>
      <c r="N146" s="36">
        <v>0.65800000000000003</v>
      </c>
      <c r="O146" s="36">
        <v>0.03</v>
      </c>
      <c r="P146" s="36">
        <v>3.6999999999999998E-2</v>
      </c>
      <c r="R146" s="12"/>
      <c r="S146" s="12"/>
      <c r="T146" s="12"/>
      <c r="U146" s="12"/>
      <c r="V146" s="12"/>
      <c r="W146" s="13"/>
      <c r="X146" s="13"/>
      <c r="Y146" s="13"/>
    </row>
    <row r="147" spans="1:32" ht="14" customHeight="1" x14ac:dyDescent="0.25">
      <c r="A147" s="151"/>
      <c r="B147" s="8">
        <v>8</v>
      </c>
      <c r="C147" s="8" t="s">
        <v>128</v>
      </c>
      <c r="D147" s="8">
        <v>2.2000000000000002</v>
      </c>
      <c r="E147" s="8">
        <v>3</v>
      </c>
      <c r="F147" s="36">
        <v>0.36399999999999999</v>
      </c>
      <c r="G147" s="36">
        <v>2.4E-2</v>
      </c>
      <c r="H147" s="36">
        <v>2.5000000000000001E-2</v>
      </c>
      <c r="I147" s="9"/>
      <c r="J147" s="8">
        <v>8</v>
      </c>
      <c r="K147" s="8" t="s">
        <v>128</v>
      </c>
      <c r="L147" s="8">
        <v>24.2</v>
      </c>
      <c r="M147" s="8">
        <v>23</v>
      </c>
      <c r="N147" s="36">
        <v>-4.7E-2</v>
      </c>
      <c r="O147" s="36">
        <v>0.04</v>
      </c>
      <c r="P147" s="36">
        <v>2.8000000000000001E-2</v>
      </c>
      <c r="R147" s="12"/>
      <c r="S147" s="12"/>
      <c r="T147" s="12"/>
      <c r="U147" s="12"/>
      <c r="V147" s="12"/>
      <c r="W147" s="13"/>
      <c r="X147" s="13"/>
      <c r="Y147" s="13"/>
    </row>
    <row r="148" spans="1:32" ht="14" customHeight="1" x14ac:dyDescent="0.25">
      <c r="A148" s="151"/>
      <c r="B148" s="8">
        <v>9</v>
      </c>
      <c r="C148" s="8" t="s">
        <v>73</v>
      </c>
      <c r="D148" s="8">
        <v>2</v>
      </c>
      <c r="E148" s="8">
        <v>3</v>
      </c>
      <c r="F148" s="36">
        <v>0.5</v>
      </c>
      <c r="G148" s="36">
        <v>2.1999999999999999E-2</v>
      </c>
      <c r="H148" s="36">
        <v>2.5000000000000001E-2</v>
      </c>
      <c r="I148" s="9"/>
      <c r="J148" s="8">
        <v>9</v>
      </c>
      <c r="K148" s="8" t="s">
        <v>73</v>
      </c>
      <c r="L148" s="8">
        <v>12.7</v>
      </c>
      <c r="M148" s="8">
        <v>21.9</v>
      </c>
      <c r="N148" s="36">
        <v>0.73199999999999998</v>
      </c>
      <c r="O148" s="36">
        <v>2.1000000000000001E-2</v>
      </c>
      <c r="P148" s="36">
        <v>2.7E-2</v>
      </c>
      <c r="R148" s="12"/>
      <c r="S148" s="12"/>
      <c r="T148" s="12"/>
      <c r="U148" s="12"/>
      <c r="V148" s="12"/>
      <c r="W148" s="13"/>
      <c r="X148" s="13"/>
      <c r="Y148" s="13"/>
    </row>
    <row r="149" spans="1:32" ht="14" customHeight="1" x14ac:dyDescent="0.25">
      <c r="A149" s="151"/>
      <c r="B149" s="8">
        <v>10</v>
      </c>
      <c r="C149" s="8" t="s">
        <v>74</v>
      </c>
      <c r="D149" s="8">
        <v>1.9</v>
      </c>
      <c r="E149" s="8">
        <v>2</v>
      </c>
      <c r="F149" s="36">
        <v>5.2999999999999999E-2</v>
      </c>
      <c r="G149" s="36">
        <v>2.1000000000000001E-2</v>
      </c>
      <c r="H149" s="36">
        <v>1.7000000000000001E-2</v>
      </c>
      <c r="I149" s="9"/>
      <c r="J149" s="8">
        <v>10</v>
      </c>
      <c r="K149" s="8" t="s">
        <v>74</v>
      </c>
      <c r="L149" s="8">
        <v>10.8</v>
      </c>
      <c r="M149" s="8">
        <v>20.5</v>
      </c>
      <c r="N149" s="36">
        <v>0.89500000000000002</v>
      </c>
      <c r="O149" s="36">
        <v>1.7999999999999999E-2</v>
      </c>
      <c r="P149" s="36">
        <v>2.5000000000000001E-2</v>
      </c>
      <c r="R149" s="12"/>
      <c r="S149" s="12"/>
      <c r="T149" s="12"/>
      <c r="U149" s="12"/>
      <c r="V149" s="12"/>
      <c r="W149" s="13"/>
      <c r="X149" s="13"/>
      <c r="Y149" s="13"/>
    </row>
    <row r="150" spans="1:32" ht="14" customHeight="1" x14ac:dyDescent="0.25">
      <c r="A150" s="151"/>
      <c r="B150" s="8"/>
      <c r="C150" s="8" t="s">
        <v>77</v>
      </c>
      <c r="D150" s="8">
        <v>11</v>
      </c>
      <c r="E150" s="8">
        <v>12.9</v>
      </c>
      <c r="F150" s="36">
        <v>0.17299999999999999</v>
      </c>
      <c r="G150" s="36">
        <v>0.122</v>
      </c>
      <c r="H150" s="36">
        <v>0.107</v>
      </c>
      <c r="I150" s="9"/>
      <c r="J150" s="8"/>
      <c r="K150" s="8" t="s">
        <v>77</v>
      </c>
      <c r="L150" s="8">
        <v>61.1</v>
      </c>
      <c r="M150" s="8">
        <v>87.9</v>
      </c>
      <c r="N150" s="36">
        <v>0.439</v>
      </c>
      <c r="O150" s="36">
        <v>0.10100000000000001</v>
      </c>
      <c r="P150" s="36">
        <v>0.108</v>
      </c>
      <c r="R150" s="12"/>
      <c r="S150" s="12"/>
      <c r="T150" s="12"/>
      <c r="U150" s="12"/>
      <c r="V150" s="12"/>
      <c r="W150" s="13"/>
      <c r="X150" s="13"/>
      <c r="Y150" s="13"/>
    </row>
    <row r="151" spans="1:32" ht="14" customHeight="1" x14ac:dyDescent="0.25">
      <c r="A151" s="151"/>
      <c r="B151" s="8"/>
      <c r="C151" s="8" t="s">
        <v>78</v>
      </c>
      <c r="D151" s="8">
        <v>89.8</v>
      </c>
      <c r="E151" s="8">
        <v>120.4</v>
      </c>
      <c r="F151" s="36">
        <v>0.34100000000000003</v>
      </c>
      <c r="G151" s="36">
        <v>1</v>
      </c>
      <c r="H151" s="36">
        <v>1</v>
      </c>
      <c r="I151" s="9"/>
      <c r="J151" s="8"/>
      <c r="K151" s="8" t="s">
        <v>78</v>
      </c>
      <c r="L151" s="8">
        <v>602.4</v>
      </c>
      <c r="M151" s="8">
        <v>811.7</v>
      </c>
      <c r="N151" s="36">
        <v>0.34699999999999998</v>
      </c>
      <c r="O151" s="36">
        <v>1</v>
      </c>
      <c r="P151" s="36">
        <v>1</v>
      </c>
      <c r="R151" s="12"/>
      <c r="S151" s="12"/>
      <c r="T151" s="12"/>
      <c r="U151" s="12"/>
      <c r="V151" s="12"/>
      <c r="W151" s="13"/>
      <c r="X151" s="13"/>
      <c r="Y151" s="13"/>
    </row>
    <row r="152" spans="1:32" ht="14" customHeight="1" x14ac:dyDescent="0.25">
      <c r="A152" s="154"/>
      <c r="B152" s="11"/>
      <c r="J152" s="11"/>
    </row>
    <row r="153" spans="1:32" ht="14" customHeight="1" x14ac:dyDescent="0.25">
      <c r="A153" s="154"/>
      <c r="B153" s="11" t="s">
        <v>83</v>
      </c>
      <c r="J153" s="11" t="s">
        <v>84</v>
      </c>
    </row>
    <row r="154" spans="1:32" s="216" customFormat="1" ht="14" customHeight="1" x14ac:dyDescent="0.25">
      <c r="A154" s="154"/>
      <c r="B154" s="36" t="s">
        <v>582</v>
      </c>
      <c r="C154" s="36" t="s">
        <v>335</v>
      </c>
      <c r="D154" s="140">
        <v>45505</v>
      </c>
      <c r="E154" s="140">
        <v>45870</v>
      </c>
      <c r="F154" s="36" t="s">
        <v>34</v>
      </c>
      <c r="G154" s="36" t="s">
        <v>669</v>
      </c>
      <c r="H154" s="36" t="s">
        <v>670</v>
      </c>
      <c r="J154" s="36" t="s">
        <v>582</v>
      </c>
      <c r="K154" s="36" t="s">
        <v>335</v>
      </c>
      <c r="L154" s="36" t="s">
        <v>677</v>
      </c>
      <c r="M154" s="36" t="s">
        <v>678</v>
      </c>
      <c r="N154" s="36" t="s">
        <v>34</v>
      </c>
      <c r="O154" s="36" t="s">
        <v>669</v>
      </c>
      <c r="P154" s="36" t="s">
        <v>670</v>
      </c>
      <c r="R154" s="143"/>
      <c r="S154" s="143"/>
      <c r="T154" s="143"/>
      <c r="U154" s="143"/>
      <c r="V154" s="143"/>
      <c r="W154" s="143"/>
      <c r="X154" s="143"/>
      <c r="Y154" s="12"/>
      <c r="Z154" s="12"/>
      <c r="AA154" s="12"/>
      <c r="AB154" s="12"/>
      <c r="AC154" s="13"/>
      <c r="AD154" s="13"/>
      <c r="AE154" s="13"/>
      <c r="AF154" s="13"/>
    </row>
    <row r="155" spans="1:32" ht="14" customHeight="1" x14ac:dyDescent="0.25">
      <c r="A155" s="151"/>
      <c r="B155" s="8">
        <v>1</v>
      </c>
      <c r="C155" s="8" t="s">
        <v>68</v>
      </c>
      <c r="D155" s="8">
        <v>27.8</v>
      </c>
      <c r="E155" s="8">
        <v>33.1</v>
      </c>
      <c r="F155" s="36">
        <v>0.19070000000000001</v>
      </c>
      <c r="G155" s="36">
        <v>0.36630000000000001</v>
      </c>
      <c r="H155" s="36">
        <v>0.32890000000000003</v>
      </c>
      <c r="I155" s="9"/>
      <c r="J155" s="8">
        <v>1</v>
      </c>
      <c r="K155" s="8" t="s">
        <v>68</v>
      </c>
      <c r="L155" s="8">
        <v>193</v>
      </c>
      <c r="M155" s="8">
        <v>254.5</v>
      </c>
      <c r="N155" s="36">
        <v>0.31900000000000001</v>
      </c>
      <c r="O155" s="36">
        <v>0.377</v>
      </c>
      <c r="P155" s="36">
        <v>0.36799999999999999</v>
      </c>
      <c r="R155" s="12"/>
      <c r="S155" s="12"/>
      <c r="T155" s="12"/>
      <c r="U155" s="12"/>
      <c r="V155" s="12"/>
      <c r="W155" s="13"/>
      <c r="X155" s="13"/>
      <c r="Y155" s="13"/>
    </row>
    <row r="156" spans="1:32" ht="14" customHeight="1" x14ac:dyDescent="0.25">
      <c r="A156" s="151"/>
      <c r="B156" s="8">
        <v>2</v>
      </c>
      <c r="C156" s="8" t="s">
        <v>69</v>
      </c>
      <c r="D156" s="8">
        <v>14.1</v>
      </c>
      <c r="E156" s="8">
        <v>19.8</v>
      </c>
      <c r="F156" s="36">
        <v>0.4042</v>
      </c>
      <c r="G156" s="36">
        <v>0.18579999999999999</v>
      </c>
      <c r="H156" s="36">
        <v>0.1968</v>
      </c>
      <c r="I156" s="9"/>
      <c r="J156" s="8">
        <v>2</v>
      </c>
      <c r="K156" s="8" t="s">
        <v>69</v>
      </c>
      <c r="L156" s="8">
        <v>83</v>
      </c>
      <c r="M156" s="8">
        <v>124.8</v>
      </c>
      <c r="N156" s="36">
        <v>0.503</v>
      </c>
      <c r="O156" s="36">
        <v>0.16200000000000001</v>
      </c>
      <c r="P156" s="36">
        <v>0.18</v>
      </c>
      <c r="R156" s="12"/>
      <c r="S156" s="12"/>
      <c r="T156" s="12"/>
      <c r="U156" s="12"/>
      <c r="V156" s="12"/>
      <c r="W156" s="13"/>
      <c r="X156" s="13"/>
      <c r="Y156" s="13"/>
    </row>
    <row r="157" spans="1:32" ht="14" customHeight="1" x14ac:dyDescent="0.25">
      <c r="A157" s="151"/>
      <c r="B157" s="8">
        <v>3</v>
      </c>
      <c r="C157" s="8" t="s">
        <v>70</v>
      </c>
      <c r="D157" s="8">
        <v>5.3</v>
      </c>
      <c r="E157" s="8">
        <v>9.5</v>
      </c>
      <c r="F157" s="36">
        <v>0.79249999999999998</v>
      </c>
      <c r="G157" s="36">
        <v>6.9800000000000001E-2</v>
      </c>
      <c r="H157" s="36">
        <v>9.4399999999999998E-2</v>
      </c>
      <c r="I157" s="9"/>
      <c r="J157" s="8">
        <v>3</v>
      </c>
      <c r="K157" s="8" t="s">
        <v>127</v>
      </c>
      <c r="L157" s="8">
        <v>59.5</v>
      </c>
      <c r="M157" s="8">
        <v>67.400000000000006</v>
      </c>
      <c r="N157" s="36">
        <v>0.13300000000000001</v>
      </c>
      <c r="O157" s="36">
        <v>0.11600000000000001</v>
      </c>
      <c r="P157" s="36">
        <v>9.7000000000000003E-2</v>
      </c>
      <c r="R157" s="12"/>
      <c r="S157" s="12"/>
      <c r="T157" s="12"/>
      <c r="U157" s="12"/>
      <c r="V157" s="12"/>
      <c r="W157" s="13"/>
      <c r="X157" s="13"/>
      <c r="Y157" s="13"/>
    </row>
    <row r="158" spans="1:32" ht="14" customHeight="1" x14ac:dyDescent="0.25">
      <c r="A158" s="151"/>
      <c r="B158" s="8">
        <v>4</v>
      </c>
      <c r="C158" s="8" t="s">
        <v>127</v>
      </c>
      <c r="D158" s="8">
        <v>8.1</v>
      </c>
      <c r="E158" s="8">
        <v>11.3</v>
      </c>
      <c r="F158" s="36">
        <v>0.39510000000000001</v>
      </c>
      <c r="G158" s="36">
        <v>0.1067</v>
      </c>
      <c r="H158" s="36">
        <v>0.1123</v>
      </c>
      <c r="I158" s="9"/>
      <c r="J158" s="8">
        <v>4</v>
      </c>
      <c r="K158" s="8" t="s">
        <v>71</v>
      </c>
      <c r="L158" s="8">
        <v>24.3</v>
      </c>
      <c r="M158" s="8">
        <v>32.1</v>
      </c>
      <c r="N158" s="36">
        <v>0.32300000000000001</v>
      </c>
      <c r="O158" s="36">
        <v>4.7E-2</v>
      </c>
      <c r="P158" s="36">
        <v>4.5999999999999999E-2</v>
      </c>
      <c r="R158" s="12"/>
      <c r="S158" s="12"/>
      <c r="T158" s="12"/>
      <c r="U158" s="12"/>
      <c r="V158" s="12"/>
      <c r="W158" s="13"/>
      <c r="X158" s="13"/>
      <c r="Y158" s="13"/>
    </row>
    <row r="159" spans="1:32" ht="14" customHeight="1" x14ac:dyDescent="0.25">
      <c r="A159" s="151"/>
      <c r="B159" s="8">
        <v>5</v>
      </c>
      <c r="C159" s="8" t="s">
        <v>71</v>
      </c>
      <c r="D159" s="8">
        <v>3.5</v>
      </c>
      <c r="E159" s="8">
        <v>5.9</v>
      </c>
      <c r="F159" s="36">
        <v>0.68569999999999998</v>
      </c>
      <c r="G159" s="36">
        <v>4.6100000000000002E-2</v>
      </c>
      <c r="H159" s="36">
        <v>5.8599999999999999E-2</v>
      </c>
      <c r="I159" s="9"/>
      <c r="J159" s="8">
        <v>5</v>
      </c>
      <c r="K159" s="8" t="s">
        <v>25</v>
      </c>
      <c r="L159" s="8">
        <v>24.3</v>
      </c>
      <c r="M159" s="8">
        <v>29.2</v>
      </c>
      <c r="N159" s="36">
        <v>0.20300000000000001</v>
      </c>
      <c r="O159" s="36">
        <v>4.7E-2</v>
      </c>
      <c r="P159" s="36">
        <v>4.2000000000000003E-2</v>
      </c>
      <c r="R159" s="12"/>
      <c r="S159" s="12"/>
      <c r="T159" s="12"/>
      <c r="U159" s="12"/>
      <c r="V159" s="12"/>
      <c r="W159" s="13"/>
      <c r="X159" s="13"/>
      <c r="Y159" s="13"/>
    </row>
    <row r="160" spans="1:32" ht="14" customHeight="1" x14ac:dyDescent="0.25">
      <c r="A160" s="151"/>
      <c r="B160" s="8">
        <v>6</v>
      </c>
      <c r="C160" s="8" t="s">
        <v>25</v>
      </c>
      <c r="D160" s="8">
        <v>3.3</v>
      </c>
      <c r="E160" s="8">
        <v>4.5999999999999996</v>
      </c>
      <c r="F160" s="36">
        <v>0.39389999999999997</v>
      </c>
      <c r="G160" s="36">
        <v>4.3499999999999997E-2</v>
      </c>
      <c r="H160" s="36">
        <v>4.5699999999999998E-2</v>
      </c>
      <c r="I160" s="9"/>
      <c r="J160" s="8">
        <v>6</v>
      </c>
      <c r="K160" s="8" t="s">
        <v>72</v>
      </c>
      <c r="L160" s="8">
        <v>22.2</v>
      </c>
      <c r="M160" s="8">
        <v>25.8</v>
      </c>
      <c r="N160" s="36">
        <v>0.16</v>
      </c>
      <c r="O160" s="36">
        <v>4.2999999999999997E-2</v>
      </c>
      <c r="P160" s="36">
        <v>3.6999999999999998E-2</v>
      </c>
      <c r="R160" s="12"/>
      <c r="S160" s="12"/>
      <c r="T160" s="12"/>
      <c r="U160" s="12"/>
      <c r="V160" s="12"/>
      <c r="W160" s="13"/>
      <c r="X160" s="13"/>
      <c r="Y160" s="13"/>
    </row>
    <row r="161" spans="1:25" ht="14" customHeight="1" x14ac:dyDescent="0.25">
      <c r="A161" s="151"/>
      <c r="B161" s="8">
        <v>7</v>
      </c>
      <c r="C161" s="8" t="s">
        <v>72</v>
      </c>
      <c r="D161" s="8">
        <v>3.1</v>
      </c>
      <c r="E161" s="8">
        <v>4.4000000000000004</v>
      </c>
      <c r="F161" s="36">
        <v>0.4194</v>
      </c>
      <c r="G161" s="36">
        <v>4.0800000000000003E-2</v>
      </c>
      <c r="H161" s="36">
        <v>4.3700000000000003E-2</v>
      </c>
      <c r="I161" s="9"/>
      <c r="J161" s="8">
        <v>7</v>
      </c>
      <c r="K161" s="8" t="s">
        <v>70</v>
      </c>
      <c r="L161" s="8">
        <v>14.6</v>
      </c>
      <c r="M161" s="8">
        <v>25.1</v>
      </c>
      <c r="N161" s="36">
        <v>0.71799999999999997</v>
      </c>
      <c r="O161" s="36">
        <v>2.9000000000000001E-2</v>
      </c>
      <c r="P161" s="36">
        <v>3.5999999999999997E-2</v>
      </c>
      <c r="R161" s="12"/>
      <c r="S161" s="12"/>
      <c r="T161" s="12"/>
      <c r="U161" s="12"/>
      <c r="V161" s="12"/>
      <c r="W161" s="13"/>
      <c r="X161" s="13"/>
      <c r="Y161" s="13"/>
    </row>
    <row r="162" spans="1:25" ht="14" customHeight="1" x14ac:dyDescent="0.25">
      <c r="A162" s="151"/>
      <c r="B162" s="8">
        <v>8</v>
      </c>
      <c r="C162" s="8" t="s">
        <v>128</v>
      </c>
      <c r="D162" s="8">
        <v>2.2999999999999998</v>
      </c>
      <c r="E162" s="8">
        <v>2.2999999999999998</v>
      </c>
      <c r="F162" s="36">
        <v>0</v>
      </c>
      <c r="G162" s="36">
        <v>3.0300000000000001E-2</v>
      </c>
      <c r="H162" s="36">
        <v>2.29E-2</v>
      </c>
      <c r="I162" s="9"/>
      <c r="J162" s="8">
        <v>8</v>
      </c>
      <c r="K162" s="8" t="s">
        <v>128</v>
      </c>
      <c r="L162" s="8">
        <v>22</v>
      </c>
      <c r="M162" s="8">
        <v>20</v>
      </c>
      <c r="N162" s="36">
        <v>-9.0999999999999998E-2</v>
      </c>
      <c r="O162" s="36">
        <v>4.2999999999999997E-2</v>
      </c>
      <c r="P162" s="36">
        <v>2.9000000000000001E-2</v>
      </c>
      <c r="R162" s="12"/>
      <c r="S162" s="12"/>
      <c r="T162" s="12"/>
      <c r="U162" s="12"/>
      <c r="V162" s="12"/>
      <c r="W162" s="13"/>
      <c r="X162" s="13"/>
      <c r="Y162" s="13"/>
    </row>
    <row r="163" spans="1:25" ht="14" customHeight="1" x14ac:dyDescent="0.25">
      <c r="A163" s="151"/>
      <c r="B163" s="8">
        <v>9</v>
      </c>
      <c r="C163" s="8" t="s">
        <v>73</v>
      </c>
      <c r="D163" s="8">
        <v>1.5</v>
      </c>
      <c r="E163" s="8">
        <v>2.5</v>
      </c>
      <c r="F163" s="36">
        <v>0.66669999999999996</v>
      </c>
      <c r="G163" s="36">
        <v>1.9800000000000002E-2</v>
      </c>
      <c r="H163" s="36">
        <v>2.4899999999999999E-2</v>
      </c>
      <c r="I163" s="9"/>
      <c r="J163" s="8">
        <v>9</v>
      </c>
      <c r="K163" s="8" t="s">
        <v>73</v>
      </c>
      <c r="L163" s="8">
        <v>10.8</v>
      </c>
      <c r="M163" s="8">
        <v>19.899999999999999</v>
      </c>
      <c r="N163" s="36">
        <v>0.84899999999999998</v>
      </c>
      <c r="O163" s="36">
        <v>2.1000000000000001E-2</v>
      </c>
      <c r="P163" s="36">
        <v>2.9000000000000001E-2</v>
      </c>
      <c r="R163" s="12"/>
      <c r="S163" s="12"/>
      <c r="T163" s="12"/>
      <c r="U163" s="12"/>
      <c r="V163" s="12"/>
      <c r="W163" s="13"/>
      <c r="X163" s="13"/>
      <c r="Y163" s="13"/>
    </row>
    <row r="164" spans="1:25" ht="14" customHeight="1" x14ac:dyDescent="0.25">
      <c r="A164" s="151"/>
      <c r="B164" s="8">
        <v>10</v>
      </c>
      <c r="C164" s="8" t="s">
        <v>74</v>
      </c>
      <c r="D164" s="8">
        <v>0.9</v>
      </c>
      <c r="E164" s="8">
        <v>1.9</v>
      </c>
      <c r="F164" s="36">
        <v>1.1111</v>
      </c>
      <c r="G164" s="36">
        <v>1.1900000000000001E-2</v>
      </c>
      <c r="H164" s="36">
        <v>1.89E-2</v>
      </c>
      <c r="I164" s="9"/>
      <c r="J164" s="8">
        <v>10</v>
      </c>
      <c r="K164" s="8" t="s">
        <v>74</v>
      </c>
      <c r="L164" s="8">
        <v>8.8000000000000007</v>
      </c>
      <c r="M164" s="8">
        <v>17.5</v>
      </c>
      <c r="N164" s="36">
        <v>0.98499999999999999</v>
      </c>
      <c r="O164" s="36">
        <v>1.7000000000000001E-2</v>
      </c>
      <c r="P164" s="36">
        <v>2.5000000000000001E-2</v>
      </c>
      <c r="R164" s="12"/>
      <c r="S164" s="12"/>
      <c r="T164" s="12"/>
      <c r="U164" s="12"/>
      <c r="V164" s="12"/>
      <c r="W164" s="13"/>
      <c r="X164" s="13"/>
      <c r="Y164" s="13"/>
    </row>
    <row r="165" spans="1:25" ht="14" customHeight="1" x14ac:dyDescent="0.25">
      <c r="A165" s="151"/>
      <c r="B165" s="8"/>
      <c r="C165" s="8" t="s">
        <v>77</v>
      </c>
      <c r="D165" s="8">
        <v>8.6999999999999993</v>
      </c>
      <c r="E165" s="8">
        <v>10.9</v>
      </c>
      <c r="F165" s="36">
        <v>0.25290000000000001</v>
      </c>
      <c r="G165" s="36">
        <v>0.11459999999999999</v>
      </c>
      <c r="H165" s="36">
        <v>0.10829999999999999</v>
      </c>
      <c r="I165" s="9"/>
      <c r="J165" s="8"/>
      <c r="K165" s="8" t="s">
        <v>77</v>
      </c>
      <c r="L165" s="8">
        <v>50.2</v>
      </c>
      <c r="M165" s="8">
        <v>75.2</v>
      </c>
      <c r="N165" s="36">
        <v>0.497</v>
      </c>
      <c r="O165" s="36">
        <v>9.8000000000000004E-2</v>
      </c>
      <c r="P165" s="36">
        <v>0.109</v>
      </c>
      <c r="R165" s="12"/>
      <c r="S165" s="12"/>
      <c r="T165" s="12"/>
      <c r="U165" s="12"/>
      <c r="V165" s="12"/>
      <c r="W165" s="13"/>
      <c r="X165" s="13"/>
      <c r="Y165" s="13"/>
    </row>
    <row r="166" spans="1:25" ht="14" customHeight="1" x14ac:dyDescent="0.25">
      <c r="A166" s="151"/>
      <c r="B166" s="8"/>
      <c r="C166" s="8" t="s">
        <v>78</v>
      </c>
      <c r="D166" s="8">
        <v>75.900000000000006</v>
      </c>
      <c r="E166" s="8">
        <v>100.6</v>
      </c>
      <c r="F166" s="36">
        <v>0.32540000000000002</v>
      </c>
      <c r="G166" s="36">
        <v>1</v>
      </c>
      <c r="H166" s="36">
        <v>1</v>
      </c>
      <c r="I166" s="9"/>
      <c r="J166" s="8"/>
      <c r="K166" s="8" t="s">
        <v>78</v>
      </c>
      <c r="L166" s="8">
        <v>512.6</v>
      </c>
      <c r="M166" s="8">
        <v>691.3</v>
      </c>
      <c r="N166" s="36">
        <v>0.34899999999999998</v>
      </c>
      <c r="O166" s="36">
        <v>1</v>
      </c>
      <c r="P166" s="36">
        <v>1</v>
      </c>
      <c r="R166" s="12"/>
      <c r="S166" s="12"/>
      <c r="T166" s="12"/>
      <c r="U166" s="12"/>
      <c r="V166" s="12"/>
      <c r="W166" s="13"/>
      <c r="X166" s="13"/>
      <c r="Y166" s="13"/>
    </row>
    <row r="168" spans="1:25" ht="14" customHeight="1" x14ac:dyDescent="0.25">
      <c r="A168" s="154"/>
      <c r="B168" s="11" t="s">
        <v>85</v>
      </c>
      <c r="J168" s="11" t="s">
        <v>86</v>
      </c>
    </row>
    <row r="169" spans="1:25" s="216" customFormat="1" ht="14" customHeight="1" x14ac:dyDescent="0.25">
      <c r="A169" s="154"/>
      <c r="B169" s="144" t="s">
        <v>582</v>
      </c>
      <c r="C169" s="144" t="s">
        <v>335</v>
      </c>
      <c r="D169" s="145">
        <v>45474</v>
      </c>
      <c r="E169" s="145">
        <v>45839</v>
      </c>
      <c r="F169" s="144" t="s">
        <v>34</v>
      </c>
      <c r="G169" s="144" t="s">
        <v>669</v>
      </c>
      <c r="H169" s="144" t="s">
        <v>670</v>
      </c>
      <c r="J169" s="144" t="s">
        <v>582</v>
      </c>
      <c r="K169" s="144" t="s">
        <v>335</v>
      </c>
      <c r="L169" s="144" t="s">
        <v>679</v>
      </c>
      <c r="M169" s="144" t="s">
        <v>680</v>
      </c>
      <c r="N169" s="144" t="s">
        <v>34</v>
      </c>
      <c r="O169" s="144" t="s">
        <v>669</v>
      </c>
      <c r="P169" s="144" t="s">
        <v>670</v>
      </c>
    </row>
    <row r="170" spans="1:25" ht="14" customHeight="1" x14ac:dyDescent="0.25">
      <c r="A170" s="154"/>
      <c r="B170" s="8">
        <v>1</v>
      </c>
      <c r="C170" s="8" t="s">
        <v>68</v>
      </c>
      <c r="D170" s="8">
        <v>26.7</v>
      </c>
      <c r="E170" s="8">
        <v>30.5</v>
      </c>
      <c r="F170" s="36">
        <v>0.14230000000000001</v>
      </c>
      <c r="G170" s="36">
        <v>0.38529999999999998</v>
      </c>
      <c r="H170" s="36">
        <v>0.35339999999999999</v>
      </c>
      <c r="J170" s="8">
        <v>1</v>
      </c>
      <c r="K170" s="8" t="s">
        <v>68</v>
      </c>
      <c r="L170" s="8">
        <v>165.2</v>
      </c>
      <c r="M170" s="8">
        <v>221.4</v>
      </c>
      <c r="N170" s="36">
        <v>0.34</v>
      </c>
      <c r="O170" s="36">
        <v>0.378</v>
      </c>
      <c r="P170" s="36">
        <v>0.375</v>
      </c>
    </row>
    <row r="171" spans="1:25" ht="14" customHeight="1" x14ac:dyDescent="0.25">
      <c r="A171" s="154"/>
      <c r="B171" s="8">
        <v>2</v>
      </c>
      <c r="C171" s="8" t="s">
        <v>69</v>
      </c>
      <c r="D171" s="8">
        <v>12.2</v>
      </c>
      <c r="E171" s="8">
        <v>15.1</v>
      </c>
      <c r="F171" s="36">
        <v>0.23769999999999999</v>
      </c>
      <c r="G171" s="36">
        <v>0.17599999999999999</v>
      </c>
      <c r="H171" s="36">
        <v>0.17499999999999999</v>
      </c>
      <c r="J171" s="8">
        <v>2</v>
      </c>
      <c r="K171" s="8" t="s">
        <v>69</v>
      </c>
      <c r="L171" s="8">
        <v>68.900000000000006</v>
      </c>
      <c r="M171" s="8">
        <v>105</v>
      </c>
      <c r="N171" s="36">
        <v>0.52400000000000002</v>
      </c>
      <c r="O171" s="36">
        <v>0.158</v>
      </c>
      <c r="P171" s="36">
        <v>0.17799999999999999</v>
      </c>
    </row>
    <row r="172" spans="1:25" ht="14" customHeight="1" x14ac:dyDescent="0.25">
      <c r="A172" s="154"/>
      <c r="B172" s="8">
        <v>3</v>
      </c>
      <c r="C172" s="8" t="s">
        <v>127</v>
      </c>
      <c r="D172" s="8">
        <v>6.2</v>
      </c>
      <c r="E172" s="8">
        <v>8.9</v>
      </c>
      <c r="F172" s="36">
        <v>0.4355</v>
      </c>
      <c r="G172" s="36">
        <v>8.9499999999999996E-2</v>
      </c>
      <c r="H172" s="36">
        <v>0.1031</v>
      </c>
      <c r="J172" s="8">
        <v>3</v>
      </c>
      <c r="K172" s="8" t="s">
        <v>127</v>
      </c>
      <c r="L172" s="8">
        <v>51.4</v>
      </c>
      <c r="M172" s="8">
        <v>56.1</v>
      </c>
      <c r="N172" s="36">
        <v>0.09</v>
      </c>
      <c r="O172" s="36">
        <v>0.11799999999999999</v>
      </c>
      <c r="P172" s="36">
        <v>9.5000000000000001E-2</v>
      </c>
    </row>
    <row r="173" spans="1:25" ht="14" customHeight="1" x14ac:dyDescent="0.25">
      <c r="A173" s="154"/>
      <c r="B173" s="8">
        <v>4</v>
      </c>
      <c r="C173" s="8" t="s">
        <v>71</v>
      </c>
      <c r="D173" s="8">
        <v>3</v>
      </c>
      <c r="E173" s="8">
        <v>4.4000000000000004</v>
      </c>
      <c r="F173" s="36">
        <v>0.4667</v>
      </c>
      <c r="G173" s="36">
        <v>4.3299999999999998E-2</v>
      </c>
      <c r="H173" s="36">
        <v>5.0999999999999997E-2</v>
      </c>
      <c r="J173" s="8">
        <v>4</v>
      </c>
      <c r="K173" s="8" t="s">
        <v>71</v>
      </c>
      <c r="L173" s="8">
        <v>20.8</v>
      </c>
      <c r="M173" s="8">
        <v>26.2</v>
      </c>
      <c r="N173" s="36">
        <v>0.26100000000000001</v>
      </c>
      <c r="O173" s="36">
        <v>4.8000000000000001E-2</v>
      </c>
      <c r="P173" s="36">
        <v>4.3999999999999997E-2</v>
      </c>
    </row>
    <row r="174" spans="1:25" ht="14" customHeight="1" x14ac:dyDescent="0.25">
      <c r="A174" s="154"/>
      <c r="B174" s="8">
        <v>5</v>
      </c>
      <c r="C174" s="8" t="s">
        <v>25</v>
      </c>
      <c r="D174" s="8">
        <v>3.3</v>
      </c>
      <c r="E174" s="8">
        <v>5</v>
      </c>
      <c r="F174" s="36">
        <v>0.51519999999999999</v>
      </c>
      <c r="G174" s="36">
        <v>4.7600000000000003E-2</v>
      </c>
      <c r="H174" s="36">
        <v>5.8000000000000003E-2</v>
      </c>
      <c r="J174" s="8">
        <v>5</v>
      </c>
      <c r="K174" s="8" t="s">
        <v>25</v>
      </c>
      <c r="L174" s="8">
        <v>21</v>
      </c>
      <c r="M174" s="8">
        <v>24.6</v>
      </c>
      <c r="N174" s="36">
        <v>0.17399999999999999</v>
      </c>
      <c r="O174" s="36">
        <v>4.8000000000000001E-2</v>
      </c>
      <c r="P174" s="36">
        <v>4.2000000000000003E-2</v>
      </c>
    </row>
    <row r="175" spans="1:25" ht="14" customHeight="1" x14ac:dyDescent="0.25">
      <c r="A175" s="154"/>
      <c r="B175" s="8">
        <v>6</v>
      </c>
      <c r="C175" s="8" t="s">
        <v>72</v>
      </c>
      <c r="D175" s="8">
        <v>2.6</v>
      </c>
      <c r="E175" s="8">
        <v>2.6</v>
      </c>
      <c r="F175" s="36">
        <v>0</v>
      </c>
      <c r="G175" s="36">
        <v>3.7499999999999999E-2</v>
      </c>
      <c r="H175" s="36">
        <v>3.0099999999999998E-2</v>
      </c>
      <c r="J175" s="8">
        <v>6</v>
      </c>
      <c r="K175" s="8" t="s">
        <v>72</v>
      </c>
      <c r="L175" s="8">
        <v>19.100000000000001</v>
      </c>
      <c r="M175" s="8">
        <v>21.4</v>
      </c>
      <c r="N175" s="36">
        <v>0.124</v>
      </c>
      <c r="O175" s="36">
        <v>4.3999999999999997E-2</v>
      </c>
      <c r="P175" s="36">
        <v>3.5999999999999997E-2</v>
      </c>
    </row>
    <row r="176" spans="1:25" ht="14" customHeight="1" x14ac:dyDescent="0.25">
      <c r="A176" s="154"/>
      <c r="B176" s="8">
        <v>7</v>
      </c>
      <c r="C176" s="8" t="s">
        <v>70</v>
      </c>
      <c r="D176" s="8">
        <v>2.1</v>
      </c>
      <c r="E176" s="8">
        <v>3.2</v>
      </c>
      <c r="F176" s="36">
        <v>0.52380000000000004</v>
      </c>
      <c r="G176" s="36">
        <v>3.0300000000000001E-2</v>
      </c>
      <c r="H176" s="36">
        <v>3.7100000000000001E-2</v>
      </c>
      <c r="J176" s="8">
        <v>7</v>
      </c>
      <c r="K176" s="8" t="s">
        <v>70</v>
      </c>
      <c r="L176" s="8">
        <v>11.8</v>
      </c>
      <c r="M176" s="8">
        <v>21.1</v>
      </c>
      <c r="N176" s="36">
        <v>0.78</v>
      </c>
      <c r="O176" s="36">
        <v>2.7E-2</v>
      </c>
      <c r="P176" s="36">
        <v>3.5999999999999997E-2</v>
      </c>
    </row>
    <row r="177" spans="1:16" ht="14" customHeight="1" x14ac:dyDescent="0.25">
      <c r="A177" s="154"/>
      <c r="B177" s="8">
        <v>8</v>
      </c>
      <c r="C177" s="8" t="s">
        <v>128</v>
      </c>
      <c r="D177" s="8">
        <v>2.2999999999999998</v>
      </c>
      <c r="E177" s="8">
        <v>1.7</v>
      </c>
      <c r="F177" s="36">
        <v>-0.26090000000000002</v>
      </c>
      <c r="G177" s="36">
        <v>3.32E-2</v>
      </c>
      <c r="H177" s="36">
        <v>1.9699999999999999E-2</v>
      </c>
      <c r="J177" s="8">
        <v>8</v>
      </c>
      <c r="K177" s="8" t="s">
        <v>128</v>
      </c>
      <c r="L177" s="8">
        <v>19.7</v>
      </c>
      <c r="M177" s="8">
        <v>17.7</v>
      </c>
      <c r="N177" s="36">
        <v>-0.106</v>
      </c>
      <c r="O177" s="36">
        <v>4.4999999999999998E-2</v>
      </c>
      <c r="P177" s="36">
        <v>0.03</v>
      </c>
    </row>
    <row r="178" spans="1:16" ht="14" customHeight="1" x14ac:dyDescent="0.25">
      <c r="A178" s="154"/>
      <c r="B178" s="8">
        <v>9</v>
      </c>
      <c r="C178" s="8" t="s">
        <v>73</v>
      </c>
      <c r="D178" s="8">
        <v>1.1000000000000001</v>
      </c>
      <c r="E178" s="8">
        <v>3.8</v>
      </c>
      <c r="F178" s="36">
        <v>2.4544999999999999</v>
      </c>
      <c r="G178" s="36">
        <v>1.5900000000000001E-2</v>
      </c>
      <c r="H178" s="36">
        <v>4.3999999999999997E-2</v>
      </c>
      <c r="J178" s="8">
        <v>9</v>
      </c>
      <c r="K178" s="8" t="s">
        <v>73</v>
      </c>
      <c r="L178" s="8">
        <v>9.3000000000000007</v>
      </c>
      <c r="M178" s="8">
        <v>17.399999999999999</v>
      </c>
      <c r="N178" s="36">
        <v>0.878</v>
      </c>
      <c r="O178" s="36">
        <v>2.1000000000000001E-2</v>
      </c>
      <c r="P178" s="36">
        <v>2.9000000000000001E-2</v>
      </c>
    </row>
    <row r="179" spans="1:16" ht="14" customHeight="1" x14ac:dyDescent="0.25">
      <c r="A179" s="154"/>
      <c r="B179" s="8">
        <v>10</v>
      </c>
      <c r="C179" s="8" t="s">
        <v>74</v>
      </c>
      <c r="D179" s="8">
        <v>1.7</v>
      </c>
      <c r="E179" s="8">
        <v>2.7</v>
      </c>
      <c r="F179" s="36">
        <v>0.58819999999999995</v>
      </c>
      <c r="G179" s="36">
        <v>2.4500000000000001E-2</v>
      </c>
      <c r="H179" s="36">
        <v>3.1300000000000001E-2</v>
      </c>
      <c r="J179" s="8">
        <v>10</v>
      </c>
      <c r="K179" s="8" t="s">
        <v>74</v>
      </c>
      <c r="L179" s="8">
        <v>7.9</v>
      </c>
      <c r="M179" s="8">
        <v>15.6</v>
      </c>
      <c r="N179" s="36">
        <v>0.97099999999999997</v>
      </c>
      <c r="O179" s="36">
        <v>1.7999999999999999E-2</v>
      </c>
      <c r="P179" s="36">
        <v>2.5999999999999999E-2</v>
      </c>
    </row>
    <row r="180" spans="1:16" ht="14" customHeight="1" x14ac:dyDescent="0.25">
      <c r="A180" s="154"/>
      <c r="B180" s="8"/>
      <c r="C180" s="8" t="s">
        <v>77</v>
      </c>
      <c r="D180" s="8">
        <v>7.9</v>
      </c>
      <c r="E180" s="8">
        <v>8.5</v>
      </c>
      <c r="F180" s="36">
        <v>7.5899999999999995E-2</v>
      </c>
      <c r="G180" s="36">
        <v>0.114</v>
      </c>
      <c r="H180" s="36">
        <v>9.8500000000000004E-2</v>
      </c>
      <c r="J180" s="8"/>
      <c r="K180" s="8" t="s">
        <v>77</v>
      </c>
      <c r="L180" s="8">
        <v>41.5</v>
      </c>
      <c r="M180" s="8">
        <v>64.3</v>
      </c>
      <c r="N180" s="36">
        <v>0.54700000000000004</v>
      </c>
      <c r="O180" s="36">
        <v>9.5000000000000001E-2</v>
      </c>
      <c r="P180" s="36">
        <v>0.109</v>
      </c>
    </row>
    <row r="181" spans="1:16" ht="14" customHeight="1" x14ac:dyDescent="0.25">
      <c r="A181" s="154"/>
      <c r="B181" s="8"/>
      <c r="C181" s="8" t="s">
        <v>78</v>
      </c>
      <c r="D181" s="8">
        <v>69.3</v>
      </c>
      <c r="E181" s="8">
        <v>86.3</v>
      </c>
      <c r="F181" s="36">
        <v>0.24529999999999999</v>
      </c>
      <c r="G181" s="36">
        <v>1</v>
      </c>
      <c r="H181" s="36">
        <v>1</v>
      </c>
      <c r="J181" s="8"/>
      <c r="K181" s="8" t="s">
        <v>78</v>
      </c>
      <c r="L181" s="8">
        <v>436.7</v>
      </c>
      <c r="M181" s="8">
        <v>590.70000000000005</v>
      </c>
      <c r="N181" s="36">
        <v>0.35299999999999998</v>
      </c>
      <c r="O181" s="36">
        <v>1</v>
      </c>
      <c r="P181" s="36">
        <v>1</v>
      </c>
    </row>
    <row r="182" spans="1:16" ht="14" customHeight="1" x14ac:dyDescent="0.25">
      <c r="A182" s="154"/>
    </row>
    <row r="183" spans="1:16" ht="14" customHeight="1" x14ac:dyDescent="0.25">
      <c r="A183" s="154"/>
      <c r="B183" s="11" t="s">
        <v>87</v>
      </c>
      <c r="J183" s="11" t="s">
        <v>88</v>
      </c>
    </row>
    <row r="184" spans="1:16" s="216" customFormat="1" ht="14" customHeight="1" x14ac:dyDescent="0.25">
      <c r="A184" s="154"/>
      <c r="B184" s="37" t="s">
        <v>96</v>
      </c>
      <c r="C184" s="7" t="s">
        <v>381</v>
      </c>
      <c r="D184" s="146">
        <v>45444</v>
      </c>
      <c r="E184" s="146">
        <v>45809</v>
      </c>
      <c r="F184" s="7" t="s">
        <v>34</v>
      </c>
      <c r="G184" s="7" t="s">
        <v>97</v>
      </c>
      <c r="H184" s="7" t="s">
        <v>681</v>
      </c>
      <c r="J184" s="144" t="s">
        <v>582</v>
      </c>
      <c r="K184" s="144" t="s">
        <v>335</v>
      </c>
      <c r="L184" s="144" t="s">
        <v>682</v>
      </c>
      <c r="M184" s="144" t="s">
        <v>683</v>
      </c>
      <c r="N184" s="144" t="s">
        <v>34</v>
      </c>
      <c r="O184" s="144" t="s">
        <v>669</v>
      </c>
      <c r="P184" s="144" t="s">
        <v>670</v>
      </c>
    </row>
    <row r="185" spans="1:16" ht="14" customHeight="1" x14ac:dyDescent="0.25">
      <c r="A185" s="154"/>
      <c r="B185" s="8">
        <v>1</v>
      </c>
      <c r="C185" s="8" t="s">
        <v>68</v>
      </c>
      <c r="D185" s="8">
        <v>29.9</v>
      </c>
      <c r="E185" s="8">
        <v>38.200000000000003</v>
      </c>
      <c r="F185" s="36">
        <v>0.27760000000000001</v>
      </c>
      <c r="G185" s="36">
        <v>0.38529999999999998</v>
      </c>
      <c r="H185" s="36">
        <v>0.3705</v>
      </c>
      <c r="I185" s="9"/>
      <c r="J185" s="8">
        <v>1</v>
      </c>
      <c r="K185" s="8" t="s">
        <v>68</v>
      </c>
      <c r="L185" s="8">
        <v>138.5</v>
      </c>
      <c r="M185" s="8">
        <v>190.9</v>
      </c>
      <c r="N185" s="36">
        <v>0.379</v>
      </c>
      <c r="O185" s="36">
        <v>0.377</v>
      </c>
      <c r="P185" s="36">
        <v>0.379</v>
      </c>
    </row>
    <row r="186" spans="1:16" ht="14" customHeight="1" x14ac:dyDescent="0.25">
      <c r="A186" s="154"/>
      <c r="B186" s="8">
        <v>2</v>
      </c>
      <c r="C186" s="8" t="s">
        <v>69</v>
      </c>
      <c r="D186" s="8">
        <v>12.2</v>
      </c>
      <c r="E186" s="8">
        <v>19.899999999999999</v>
      </c>
      <c r="F186" s="36">
        <v>0.63109999999999999</v>
      </c>
      <c r="G186" s="36">
        <v>0.15720000000000001</v>
      </c>
      <c r="H186" s="36">
        <v>0.193</v>
      </c>
      <c r="I186" s="9"/>
      <c r="J186" s="8">
        <v>2</v>
      </c>
      <c r="K186" s="8" t="s">
        <v>69</v>
      </c>
      <c r="L186" s="8">
        <v>56.7</v>
      </c>
      <c r="M186" s="8">
        <v>89.9</v>
      </c>
      <c r="N186" s="36">
        <v>0.58399999999999996</v>
      </c>
      <c r="O186" s="36">
        <v>0.154</v>
      </c>
      <c r="P186" s="36">
        <v>0.17799999999999999</v>
      </c>
    </row>
    <row r="187" spans="1:16" ht="14" customHeight="1" x14ac:dyDescent="0.25">
      <c r="A187" s="154"/>
      <c r="B187" s="8">
        <v>3</v>
      </c>
      <c r="C187" s="8" t="s">
        <v>127</v>
      </c>
      <c r="D187" s="8">
        <v>10.3</v>
      </c>
      <c r="E187" s="8">
        <v>7.3</v>
      </c>
      <c r="F187" s="36">
        <v>-0.2913</v>
      </c>
      <c r="G187" s="36">
        <v>0.13270000000000001</v>
      </c>
      <c r="H187" s="36">
        <v>7.0800000000000002E-2</v>
      </c>
      <c r="I187" s="9"/>
      <c r="J187" s="8">
        <v>3</v>
      </c>
      <c r="K187" s="8" t="s">
        <v>127</v>
      </c>
      <c r="L187" s="8">
        <v>45.2</v>
      </c>
      <c r="M187" s="8">
        <v>47.2</v>
      </c>
      <c r="N187" s="36">
        <v>4.3999999999999997E-2</v>
      </c>
      <c r="O187" s="36">
        <v>0.123</v>
      </c>
      <c r="P187" s="36">
        <v>9.4E-2</v>
      </c>
    </row>
    <row r="188" spans="1:16" ht="14" customHeight="1" x14ac:dyDescent="0.25">
      <c r="A188" s="154"/>
      <c r="B188" s="8">
        <v>4</v>
      </c>
      <c r="C188" s="8" t="s">
        <v>71</v>
      </c>
      <c r="D188" s="8">
        <v>4.0999999999999996</v>
      </c>
      <c r="E188" s="8">
        <v>4.9000000000000004</v>
      </c>
      <c r="F188" s="36">
        <v>0.1951</v>
      </c>
      <c r="G188" s="36">
        <v>5.28E-2</v>
      </c>
      <c r="H188" s="36">
        <v>4.7500000000000001E-2</v>
      </c>
      <c r="I188" s="9"/>
      <c r="J188" s="8">
        <v>4</v>
      </c>
      <c r="K188" s="8" t="s">
        <v>71</v>
      </c>
      <c r="L188" s="8">
        <v>17.8</v>
      </c>
      <c r="M188" s="8">
        <v>21.8</v>
      </c>
      <c r="N188" s="36">
        <v>0.22700000000000001</v>
      </c>
      <c r="O188" s="36">
        <v>4.8000000000000001E-2</v>
      </c>
      <c r="P188" s="36">
        <v>4.2999999999999997E-2</v>
      </c>
    </row>
    <row r="189" spans="1:16" ht="14" customHeight="1" x14ac:dyDescent="0.25">
      <c r="A189" s="154"/>
      <c r="B189" s="8">
        <v>5</v>
      </c>
      <c r="C189" s="8" t="s">
        <v>25</v>
      </c>
      <c r="D189" s="8">
        <v>3.5</v>
      </c>
      <c r="E189" s="8">
        <v>2.8</v>
      </c>
      <c r="F189" s="36">
        <v>-0.2</v>
      </c>
      <c r="G189" s="36">
        <v>4.5100000000000001E-2</v>
      </c>
      <c r="H189" s="36">
        <v>2.7099999999999999E-2</v>
      </c>
      <c r="I189" s="9"/>
      <c r="J189" s="8">
        <v>5</v>
      </c>
      <c r="K189" s="8" t="s">
        <v>25</v>
      </c>
      <c r="L189" s="8">
        <v>17.7</v>
      </c>
      <c r="M189" s="8">
        <v>19.600000000000001</v>
      </c>
      <c r="N189" s="36">
        <v>0.107</v>
      </c>
      <c r="O189" s="36">
        <v>4.8000000000000001E-2</v>
      </c>
      <c r="P189" s="36">
        <v>3.9E-2</v>
      </c>
    </row>
    <row r="190" spans="1:16" ht="14" customHeight="1" x14ac:dyDescent="0.25">
      <c r="A190" s="154"/>
      <c r="B190" s="8">
        <v>6</v>
      </c>
      <c r="C190" s="8" t="s">
        <v>72</v>
      </c>
      <c r="D190" s="8">
        <v>3.1</v>
      </c>
      <c r="E190" s="8">
        <v>7.1</v>
      </c>
      <c r="F190" s="36">
        <v>1.2903</v>
      </c>
      <c r="G190" s="36">
        <v>0.04</v>
      </c>
      <c r="H190" s="36">
        <v>6.8900000000000003E-2</v>
      </c>
      <c r="I190" s="9"/>
      <c r="J190" s="8">
        <v>6</v>
      </c>
      <c r="K190" s="8" t="s">
        <v>72</v>
      </c>
      <c r="L190" s="8">
        <v>16.5</v>
      </c>
      <c r="M190" s="8">
        <v>18.8</v>
      </c>
      <c r="N190" s="36">
        <v>0.14399999999999999</v>
      </c>
      <c r="O190" s="36">
        <v>4.4999999999999998E-2</v>
      </c>
      <c r="P190" s="36">
        <v>3.6999999999999998E-2</v>
      </c>
    </row>
    <row r="191" spans="1:16" ht="14" customHeight="1" x14ac:dyDescent="0.25">
      <c r="A191" s="154"/>
      <c r="B191" s="8">
        <v>7</v>
      </c>
      <c r="C191" s="8" t="s">
        <v>70</v>
      </c>
      <c r="D191" s="8">
        <v>2</v>
      </c>
      <c r="E191" s="8">
        <v>4.0999999999999996</v>
      </c>
      <c r="F191" s="36">
        <v>1.05</v>
      </c>
      <c r="G191" s="36">
        <v>2.58E-2</v>
      </c>
      <c r="H191" s="36">
        <v>3.9800000000000002E-2</v>
      </c>
      <c r="I191" s="9"/>
      <c r="J191" s="8">
        <v>7</v>
      </c>
      <c r="K191" s="8" t="s">
        <v>70</v>
      </c>
      <c r="L191" s="8">
        <v>9.6999999999999993</v>
      </c>
      <c r="M191" s="8">
        <v>17.899999999999999</v>
      </c>
      <c r="N191" s="36">
        <v>0.85199999999999998</v>
      </c>
      <c r="O191" s="36">
        <v>2.5999999999999999E-2</v>
      </c>
      <c r="P191" s="36">
        <v>3.5999999999999997E-2</v>
      </c>
    </row>
    <row r="192" spans="1:16" ht="14" customHeight="1" x14ac:dyDescent="0.25">
      <c r="A192" s="154"/>
      <c r="B192" s="8">
        <v>8</v>
      </c>
      <c r="C192" s="8" t="s">
        <v>128</v>
      </c>
      <c r="D192" s="8">
        <v>3.1</v>
      </c>
      <c r="E192" s="8">
        <v>2.9</v>
      </c>
      <c r="F192" s="36">
        <v>-6.4500000000000002E-2</v>
      </c>
      <c r="G192" s="36">
        <v>0.04</v>
      </c>
      <c r="H192" s="36">
        <v>2.81E-2</v>
      </c>
      <c r="I192" s="9"/>
      <c r="J192" s="8">
        <v>8</v>
      </c>
      <c r="K192" s="8" t="s">
        <v>128</v>
      </c>
      <c r="L192" s="8">
        <v>17.399999999999999</v>
      </c>
      <c r="M192" s="8">
        <v>16</v>
      </c>
      <c r="N192" s="36">
        <v>-0.08</v>
      </c>
      <c r="O192" s="36">
        <v>4.7E-2</v>
      </c>
      <c r="P192" s="36">
        <v>3.2000000000000001E-2</v>
      </c>
    </row>
    <row r="193" spans="1:16" ht="14" customHeight="1" x14ac:dyDescent="0.25">
      <c r="A193" s="154"/>
      <c r="B193" s="8">
        <v>9</v>
      </c>
      <c r="C193" s="8" t="s">
        <v>73</v>
      </c>
      <c r="D193" s="8">
        <v>1.8</v>
      </c>
      <c r="E193" s="8">
        <v>2.8</v>
      </c>
      <c r="F193" s="36">
        <v>0.55559999999999998</v>
      </c>
      <c r="G193" s="36">
        <v>2.3199999999999998E-2</v>
      </c>
      <c r="H193" s="36">
        <v>2.7099999999999999E-2</v>
      </c>
      <c r="I193" s="9"/>
      <c r="J193" s="8">
        <v>9</v>
      </c>
      <c r="K193" s="8" t="s">
        <v>73</v>
      </c>
      <c r="L193" s="8">
        <v>8.1999999999999993</v>
      </c>
      <c r="M193" s="8">
        <v>13.6</v>
      </c>
      <c r="N193" s="36">
        <v>0.65900000000000003</v>
      </c>
      <c r="O193" s="36">
        <v>2.1999999999999999E-2</v>
      </c>
      <c r="P193" s="36">
        <v>2.7E-2</v>
      </c>
    </row>
    <row r="194" spans="1:16" ht="14" customHeight="1" x14ac:dyDescent="0.25">
      <c r="A194" s="154"/>
      <c r="B194" s="8">
        <v>10</v>
      </c>
      <c r="C194" s="8" t="s">
        <v>74</v>
      </c>
      <c r="D194" s="8">
        <v>1.2</v>
      </c>
      <c r="E194" s="8">
        <v>2.4</v>
      </c>
      <c r="F194" s="36">
        <v>1</v>
      </c>
      <c r="G194" s="36">
        <v>1.55E-2</v>
      </c>
      <c r="H194" s="36">
        <v>2.3300000000000001E-2</v>
      </c>
      <c r="I194" s="9"/>
      <c r="J194" s="8">
        <v>10</v>
      </c>
      <c r="K194" s="8" t="s">
        <v>74</v>
      </c>
      <c r="L194" s="8">
        <v>6.2</v>
      </c>
      <c r="M194" s="8">
        <v>12.9</v>
      </c>
      <c r="N194" s="36">
        <v>1.077</v>
      </c>
      <c r="O194" s="36">
        <v>1.7000000000000001E-2</v>
      </c>
      <c r="P194" s="36">
        <v>2.5999999999999999E-2</v>
      </c>
    </row>
    <row r="195" spans="1:16" ht="14" customHeight="1" x14ac:dyDescent="0.25">
      <c r="A195" s="154"/>
      <c r="B195" s="8"/>
      <c r="C195" s="8" t="s">
        <v>77</v>
      </c>
      <c r="D195" s="8">
        <v>6.8</v>
      </c>
      <c r="E195" s="8">
        <v>10.7</v>
      </c>
      <c r="F195" s="36">
        <v>0.57350000000000001</v>
      </c>
      <c r="G195" s="36">
        <v>8.7599999999999997E-2</v>
      </c>
      <c r="H195" s="36">
        <v>0.1038</v>
      </c>
      <c r="I195" s="9"/>
      <c r="J195" s="8"/>
      <c r="K195" s="8" t="s">
        <v>77</v>
      </c>
      <c r="L195" s="8">
        <v>33.6</v>
      </c>
      <c r="M195" s="8">
        <v>55.8</v>
      </c>
      <c r="N195" s="36">
        <v>0.66200000000000003</v>
      </c>
      <c r="O195" s="36">
        <v>9.0999999999999998E-2</v>
      </c>
      <c r="P195" s="36">
        <v>0.111</v>
      </c>
    </row>
    <row r="196" spans="1:16" ht="14" customHeight="1" x14ac:dyDescent="0.25">
      <c r="A196" s="154"/>
      <c r="B196" s="8"/>
      <c r="C196" s="8" t="s">
        <v>78</v>
      </c>
      <c r="D196" s="8">
        <v>77.599999999999994</v>
      </c>
      <c r="E196" s="8">
        <v>103.1</v>
      </c>
      <c r="F196" s="36">
        <v>0.3286</v>
      </c>
      <c r="G196" s="36">
        <v>1</v>
      </c>
      <c r="H196" s="36">
        <v>1</v>
      </c>
      <c r="J196" s="8"/>
      <c r="K196" s="8" t="s">
        <v>78</v>
      </c>
      <c r="L196" s="8">
        <v>367.4</v>
      </c>
      <c r="M196" s="8">
        <v>504.4</v>
      </c>
      <c r="N196" s="36">
        <v>0.373</v>
      </c>
      <c r="O196" s="36">
        <v>1</v>
      </c>
      <c r="P196" s="36">
        <v>1</v>
      </c>
    </row>
    <row r="197" spans="1:16" ht="14" customHeight="1" x14ac:dyDescent="0.25">
      <c r="A197" s="154"/>
      <c r="B197" s="11"/>
      <c r="J197" s="11"/>
    </row>
    <row r="198" spans="1:16" ht="14" customHeight="1" x14ac:dyDescent="0.25">
      <c r="A198" s="154"/>
      <c r="B198" s="11" t="s">
        <v>89</v>
      </c>
      <c r="J198" s="11" t="s">
        <v>90</v>
      </c>
    </row>
    <row r="199" spans="1:16" s="216" customFormat="1" ht="14" customHeight="1" x14ac:dyDescent="0.25">
      <c r="A199" s="154"/>
      <c r="B199" s="37" t="s">
        <v>96</v>
      </c>
      <c r="C199" s="7" t="s">
        <v>381</v>
      </c>
      <c r="D199" s="146">
        <v>45413</v>
      </c>
      <c r="E199" s="146">
        <v>45778</v>
      </c>
      <c r="F199" s="7" t="s">
        <v>34</v>
      </c>
      <c r="G199" s="7" t="s">
        <v>684</v>
      </c>
      <c r="H199" s="7" t="s">
        <v>685</v>
      </c>
      <c r="J199" s="144" t="s">
        <v>582</v>
      </c>
      <c r="K199" s="144" t="s">
        <v>335</v>
      </c>
      <c r="L199" s="144" t="s">
        <v>686</v>
      </c>
      <c r="M199" s="144" t="s">
        <v>687</v>
      </c>
      <c r="N199" s="144" t="s">
        <v>34</v>
      </c>
      <c r="O199" s="144" t="s">
        <v>669</v>
      </c>
      <c r="P199" s="144" t="s">
        <v>670</v>
      </c>
    </row>
    <row r="200" spans="1:16" ht="14" customHeight="1" x14ac:dyDescent="0.25">
      <c r="A200" s="154"/>
      <c r="B200" s="8">
        <v>1</v>
      </c>
      <c r="C200" s="8" t="s">
        <v>68</v>
      </c>
      <c r="D200" s="8">
        <v>26</v>
      </c>
      <c r="E200" s="8">
        <v>35.1</v>
      </c>
      <c r="F200" s="36">
        <v>0.35</v>
      </c>
      <c r="G200" s="36">
        <v>0.373</v>
      </c>
      <c r="H200" s="8">
        <v>0.378</v>
      </c>
      <c r="J200" s="8">
        <v>1</v>
      </c>
      <c r="K200" s="8" t="s">
        <v>68</v>
      </c>
      <c r="L200" s="8">
        <v>108.6</v>
      </c>
      <c r="M200" s="8">
        <v>152.69999999999999</v>
      </c>
      <c r="N200" s="36">
        <v>0.40600000000000003</v>
      </c>
      <c r="O200" s="36">
        <v>0.375</v>
      </c>
      <c r="P200" s="36">
        <v>0.38100000000000001</v>
      </c>
    </row>
    <row r="201" spans="1:16" ht="14" customHeight="1" x14ac:dyDescent="0.25">
      <c r="A201" s="154"/>
      <c r="B201" s="8">
        <v>2</v>
      </c>
      <c r="C201" s="8" t="s">
        <v>69</v>
      </c>
      <c r="D201" s="8">
        <v>11.3</v>
      </c>
      <c r="E201" s="8">
        <v>16.600000000000001</v>
      </c>
      <c r="F201" s="36">
        <v>0.46899999999999997</v>
      </c>
      <c r="G201" s="36">
        <v>0.16200000000000001</v>
      </c>
      <c r="H201" s="8">
        <v>0.17899999999999999</v>
      </c>
      <c r="J201" s="8">
        <v>2</v>
      </c>
      <c r="K201" s="8" t="s">
        <v>69</v>
      </c>
      <c r="L201" s="8">
        <v>44.5</v>
      </c>
      <c r="M201" s="8">
        <v>70</v>
      </c>
      <c r="N201" s="36">
        <v>0.57099999999999995</v>
      </c>
      <c r="O201" s="36">
        <v>0.154</v>
      </c>
      <c r="P201" s="36">
        <v>0.17399999999999999</v>
      </c>
    </row>
    <row r="202" spans="1:16" ht="14" customHeight="1" x14ac:dyDescent="0.25">
      <c r="A202" s="154"/>
      <c r="B202" s="8">
        <v>3</v>
      </c>
      <c r="C202" s="8" t="s">
        <v>77</v>
      </c>
      <c r="D202" s="8">
        <v>6.4</v>
      </c>
      <c r="E202" s="8">
        <v>11</v>
      </c>
      <c r="F202" s="36">
        <v>0.71899999999999997</v>
      </c>
      <c r="G202" s="36">
        <v>9.1999999999999998E-2</v>
      </c>
      <c r="H202" s="8">
        <v>0.11899999999999999</v>
      </c>
      <c r="J202" s="8">
        <v>3</v>
      </c>
      <c r="K202" s="8" t="s">
        <v>127</v>
      </c>
      <c r="L202" s="8">
        <v>34.9</v>
      </c>
      <c r="M202" s="8">
        <v>39.9</v>
      </c>
      <c r="N202" s="36">
        <v>0.14299999999999999</v>
      </c>
      <c r="O202" s="36">
        <v>0.121</v>
      </c>
      <c r="P202" s="36">
        <v>0.1</v>
      </c>
    </row>
    <row r="203" spans="1:16" ht="14" customHeight="1" x14ac:dyDescent="0.25">
      <c r="A203" s="154"/>
      <c r="B203" s="8">
        <v>4</v>
      </c>
      <c r="C203" s="8" t="s">
        <v>127</v>
      </c>
      <c r="D203" s="8">
        <v>7.9</v>
      </c>
      <c r="E203" s="8">
        <v>8.5</v>
      </c>
      <c r="F203" s="36">
        <v>7.5999999999999998E-2</v>
      </c>
      <c r="G203" s="36">
        <v>0.113</v>
      </c>
      <c r="H203" s="8">
        <v>9.1999999999999998E-2</v>
      </c>
      <c r="J203" s="8">
        <v>4</v>
      </c>
      <c r="K203" s="8" t="s">
        <v>71</v>
      </c>
      <c r="L203" s="8">
        <v>13.7</v>
      </c>
      <c r="M203" s="8">
        <v>16.899999999999999</v>
      </c>
      <c r="N203" s="36">
        <v>0.22700000000000001</v>
      </c>
      <c r="O203" s="36">
        <v>4.7E-2</v>
      </c>
      <c r="P203" s="36">
        <v>4.2000000000000003E-2</v>
      </c>
    </row>
    <row r="204" spans="1:16" ht="14" customHeight="1" x14ac:dyDescent="0.25">
      <c r="A204" s="154"/>
      <c r="B204" s="8">
        <v>5</v>
      </c>
      <c r="C204" s="8" t="s">
        <v>71</v>
      </c>
      <c r="D204" s="8">
        <v>3.9</v>
      </c>
      <c r="E204" s="8">
        <v>5</v>
      </c>
      <c r="F204" s="36">
        <v>0.28199999999999997</v>
      </c>
      <c r="G204" s="36">
        <v>5.6000000000000001E-2</v>
      </c>
      <c r="H204" s="8">
        <v>5.3999999999999999E-2</v>
      </c>
      <c r="J204" s="8">
        <v>5</v>
      </c>
      <c r="K204" s="8" t="s">
        <v>25</v>
      </c>
      <c r="L204" s="8">
        <v>14.2</v>
      </c>
      <c r="M204" s="8">
        <v>16.8</v>
      </c>
      <c r="N204" s="36">
        <v>0.18099999999999999</v>
      </c>
      <c r="O204" s="36">
        <v>4.9000000000000002E-2</v>
      </c>
      <c r="P204" s="36">
        <v>4.2000000000000003E-2</v>
      </c>
    </row>
    <row r="205" spans="1:16" ht="14" customHeight="1" x14ac:dyDescent="0.25">
      <c r="A205" s="154"/>
      <c r="B205" s="8">
        <v>6</v>
      </c>
      <c r="C205" s="8" t="s">
        <v>25</v>
      </c>
      <c r="D205" s="8">
        <v>3.4</v>
      </c>
      <c r="E205" s="8">
        <v>3.4</v>
      </c>
      <c r="F205" s="36">
        <v>0</v>
      </c>
      <c r="G205" s="36">
        <v>4.9000000000000002E-2</v>
      </c>
      <c r="H205" s="8">
        <v>3.6999999999999998E-2</v>
      </c>
      <c r="J205" s="8">
        <v>6</v>
      </c>
      <c r="K205" s="8" t="s">
        <v>70</v>
      </c>
      <c r="L205" s="8">
        <v>7.7</v>
      </c>
      <c r="M205" s="8">
        <v>13.8</v>
      </c>
      <c r="N205" s="36">
        <v>0.78900000000000003</v>
      </c>
      <c r="O205" s="36">
        <v>2.7E-2</v>
      </c>
      <c r="P205" s="36">
        <v>3.4000000000000002E-2</v>
      </c>
    </row>
    <row r="206" spans="1:16" ht="14" customHeight="1" x14ac:dyDescent="0.25">
      <c r="A206" s="154"/>
      <c r="B206" s="8">
        <v>7</v>
      </c>
      <c r="C206" s="8" t="s">
        <v>70</v>
      </c>
      <c r="D206" s="8">
        <v>1.9</v>
      </c>
      <c r="E206" s="8">
        <v>3.2</v>
      </c>
      <c r="F206" s="36">
        <v>0.68400000000000005</v>
      </c>
      <c r="G206" s="36">
        <v>2.7E-2</v>
      </c>
      <c r="H206" s="8">
        <v>3.4000000000000002E-2</v>
      </c>
      <c r="J206" s="8">
        <v>7</v>
      </c>
      <c r="K206" s="8" t="s">
        <v>128</v>
      </c>
      <c r="L206" s="8">
        <v>14.3</v>
      </c>
      <c r="M206" s="8">
        <v>13.1</v>
      </c>
      <c r="N206" s="36">
        <v>-8.7999999999999995E-2</v>
      </c>
      <c r="O206" s="36">
        <v>4.9000000000000002E-2</v>
      </c>
      <c r="P206" s="36">
        <v>3.3000000000000002E-2</v>
      </c>
    </row>
    <row r="207" spans="1:16" ht="14" customHeight="1" x14ac:dyDescent="0.25">
      <c r="A207" s="154"/>
      <c r="B207" s="8">
        <v>8</v>
      </c>
      <c r="C207" s="8" t="s">
        <v>128</v>
      </c>
      <c r="D207" s="8">
        <v>2.7</v>
      </c>
      <c r="E207" s="8">
        <v>2.8</v>
      </c>
      <c r="F207" s="36">
        <v>3.6999999999999998E-2</v>
      </c>
      <c r="G207" s="36">
        <v>3.9E-2</v>
      </c>
      <c r="H207" s="8">
        <v>0.03</v>
      </c>
      <c r="J207" s="8">
        <v>8</v>
      </c>
      <c r="K207" s="8" t="s">
        <v>72</v>
      </c>
      <c r="L207" s="8">
        <v>13.4</v>
      </c>
      <c r="M207" s="8">
        <v>11.7</v>
      </c>
      <c r="N207" s="36">
        <v>-0.129</v>
      </c>
      <c r="O207" s="36">
        <v>4.5999999999999999E-2</v>
      </c>
      <c r="P207" s="36">
        <v>2.9000000000000001E-2</v>
      </c>
    </row>
    <row r="208" spans="1:16" ht="14" customHeight="1" x14ac:dyDescent="0.25">
      <c r="A208" s="154"/>
      <c r="B208" s="8">
        <v>9</v>
      </c>
      <c r="C208" s="8" t="s">
        <v>73</v>
      </c>
      <c r="D208" s="8">
        <v>1.5</v>
      </c>
      <c r="E208" s="8">
        <v>2.5</v>
      </c>
      <c r="F208" s="8">
        <v>0.66700000000000004</v>
      </c>
      <c r="G208" s="36">
        <v>2.1999999999999999E-2</v>
      </c>
      <c r="H208" s="8">
        <v>2.7E-2</v>
      </c>
      <c r="J208" s="8">
        <v>9</v>
      </c>
      <c r="K208" s="8" t="s">
        <v>73</v>
      </c>
      <c r="L208" s="8">
        <v>6.4</v>
      </c>
      <c r="M208" s="8">
        <v>10.8</v>
      </c>
      <c r="N208" s="8">
        <v>0.67700000000000005</v>
      </c>
      <c r="O208" s="8">
        <v>2.1999999999999999E-2</v>
      </c>
      <c r="P208" s="36">
        <v>2.7E-2</v>
      </c>
    </row>
    <row r="209" spans="1:16" ht="14" customHeight="1" x14ac:dyDescent="0.25">
      <c r="A209" s="154"/>
      <c r="B209" s="8">
        <v>10</v>
      </c>
      <c r="C209" s="8" t="s">
        <v>74</v>
      </c>
      <c r="D209" s="8">
        <v>1.2</v>
      </c>
      <c r="E209" s="8">
        <v>2.4</v>
      </c>
      <c r="F209" s="36">
        <v>1</v>
      </c>
      <c r="G209" s="36">
        <v>1.7000000000000001E-2</v>
      </c>
      <c r="H209" s="8">
        <v>2.5999999999999999E-2</v>
      </c>
      <c r="J209" s="8">
        <v>10</v>
      </c>
      <c r="K209" s="8" t="s">
        <v>74</v>
      </c>
      <c r="L209" s="8">
        <v>5</v>
      </c>
      <c r="M209" s="8">
        <v>10.5</v>
      </c>
      <c r="N209" s="36">
        <v>1.101</v>
      </c>
      <c r="O209" s="36">
        <v>1.7000000000000001E-2</v>
      </c>
      <c r="P209" s="36">
        <v>2.5999999999999999E-2</v>
      </c>
    </row>
    <row r="210" spans="1:16" ht="14" customHeight="1" x14ac:dyDescent="0.25">
      <c r="A210" s="154"/>
      <c r="B210" s="8">
        <v>11</v>
      </c>
      <c r="C210" s="8" t="s">
        <v>72</v>
      </c>
      <c r="D210" s="8">
        <v>3.1</v>
      </c>
      <c r="E210" s="8">
        <v>2.2999999999999998</v>
      </c>
      <c r="F210" s="36">
        <v>-0.25800000000000001</v>
      </c>
      <c r="G210" s="36">
        <v>4.4999999999999998E-2</v>
      </c>
      <c r="H210" s="8">
        <v>2.5000000000000001E-2</v>
      </c>
      <c r="J210" s="8"/>
      <c r="K210" s="8" t="s">
        <v>77</v>
      </c>
      <c r="L210" s="8">
        <v>26.8</v>
      </c>
      <c r="M210" s="8">
        <v>45.1</v>
      </c>
      <c r="N210" s="36">
        <v>0.68500000000000005</v>
      </c>
      <c r="O210" s="36">
        <v>9.1999999999999998E-2</v>
      </c>
      <c r="P210" s="36">
        <v>0.112</v>
      </c>
    </row>
    <row r="211" spans="1:16" ht="14" customHeight="1" x14ac:dyDescent="0.25">
      <c r="A211" s="154"/>
      <c r="B211" s="8" t="s">
        <v>78</v>
      </c>
      <c r="C211" s="8" t="s">
        <v>91</v>
      </c>
      <c r="D211" s="8">
        <v>69.7</v>
      </c>
      <c r="E211" s="8">
        <v>92.8</v>
      </c>
      <c r="F211" s="36">
        <v>0.33100000000000002</v>
      </c>
      <c r="G211" s="36">
        <v>1</v>
      </c>
      <c r="H211" s="36">
        <v>1</v>
      </c>
      <c r="J211" s="8"/>
      <c r="K211" s="8" t="s">
        <v>78</v>
      </c>
      <c r="L211" s="8">
        <v>289.8</v>
      </c>
      <c r="M211" s="8">
        <v>401.3</v>
      </c>
      <c r="N211" s="36">
        <v>0.38500000000000001</v>
      </c>
      <c r="O211" s="36">
        <v>1</v>
      </c>
      <c r="P211" s="36">
        <v>1</v>
      </c>
    </row>
    <row r="212" spans="1:16" ht="14" customHeight="1" x14ac:dyDescent="0.25">
      <c r="A212" s="154"/>
      <c r="B212" s="11"/>
      <c r="J212" s="11"/>
    </row>
    <row r="213" spans="1:16" ht="14" customHeight="1" x14ac:dyDescent="0.25">
      <c r="A213" s="154"/>
      <c r="B213" s="11" t="s">
        <v>92</v>
      </c>
      <c r="J213" s="11" t="s">
        <v>93</v>
      </c>
    </row>
    <row r="214" spans="1:16" s="216" customFormat="1" ht="14" customHeight="1" x14ac:dyDescent="0.25">
      <c r="A214" s="154"/>
      <c r="B214" s="37" t="s">
        <v>96</v>
      </c>
      <c r="C214" s="7" t="s">
        <v>381</v>
      </c>
      <c r="D214" s="146">
        <v>45383</v>
      </c>
      <c r="E214" s="146">
        <v>45748</v>
      </c>
      <c r="F214" s="7" t="s">
        <v>34</v>
      </c>
      <c r="G214" s="7" t="s">
        <v>97</v>
      </c>
      <c r="H214" s="7" t="s">
        <v>681</v>
      </c>
      <c r="J214" s="144" t="s">
        <v>582</v>
      </c>
      <c r="K214" s="144" t="s">
        <v>335</v>
      </c>
      <c r="L214" s="144" t="s">
        <v>688</v>
      </c>
      <c r="M214" s="144" t="s">
        <v>689</v>
      </c>
      <c r="N214" s="144" t="s">
        <v>34</v>
      </c>
      <c r="O214" s="144" t="s">
        <v>669</v>
      </c>
      <c r="P214" s="144" t="s">
        <v>670</v>
      </c>
    </row>
    <row r="215" spans="1:16" ht="14" customHeight="1" x14ac:dyDescent="0.25">
      <c r="A215" s="154"/>
      <c r="B215" s="8">
        <v>1</v>
      </c>
      <c r="C215" s="8" t="s">
        <v>68</v>
      </c>
      <c r="D215" s="8">
        <v>22</v>
      </c>
      <c r="E215" s="8">
        <v>32.700000000000003</v>
      </c>
      <c r="F215" s="36">
        <v>0.4864</v>
      </c>
      <c r="G215" s="36">
        <v>0.36480000000000001</v>
      </c>
      <c r="H215" s="36">
        <v>0.37719999999999998</v>
      </c>
      <c r="J215" s="8">
        <v>1</v>
      </c>
      <c r="K215" s="8" t="s">
        <v>68</v>
      </c>
      <c r="L215" s="8">
        <v>82.6</v>
      </c>
      <c r="M215" s="8">
        <v>117.6</v>
      </c>
      <c r="N215" s="36">
        <v>0.42399999999999999</v>
      </c>
      <c r="O215" s="36">
        <v>0.375</v>
      </c>
      <c r="P215" s="36">
        <v>0.38100000000000001</v>
      </c>
    </row>
    <row r="216" spans="1:16" ht="14" customHeight="1" x14ac:dyDescent="0.25">
      <c r="A216" s="154"/>
      <c r="B216" s="8">
        <v>2</v>
      </c>
      <c r="C216" s="8" t="s">
        <v>69</v>
      </c>
      <c r="D216" s="8">
        <v>10.4</v>
      </c>
      <c r="E216" s="8">
        <v>16.399999999999999</v>
      </c>
      <c r="F216" s="36">
        <v>0.57689999999999997</v>
      </c>
      <c r="G216" s="36">
        <v>0.17249999999999999</v>
      </c>
      <c r="H216" s="36">
        <v>0.18920000000000001</v>
      </c>
      <c r="J216" s="8">
        <v>2</v>
      </c>
      <c r="K216" s="8" t="s">
        <v>69</v>
      </c>
      <c r="L216" s="8">
        <v>33.200000000000003</v>
      </c>
      <c r="M216" s="8">
        <v>53.4</v>
      </c>
      <c r="N216" s="36">
        <v>0.60799999999999998</v>
      </c>
      <c r="O216" s="36">
        <v>0.151</v>
      </c>
      <c r="P216" s="36">
        <v>0.17299999999999999</v>
      </c>
    </row>
    <row r="217" spans="1:16" ht="14" customHeight="1" x14ac:dyDescent="0.25">
      <c r="A217" s="154"/>
      <c r="B217" s="8">
        <v>3</v>
      </c>
      <c r="C217" s="8" t="s">
        <v>127</v>
      </c>
      <c r="D217" s="8">
        <v>6.3</v>
      </c>
      <c r="E217" s="8">
        <v>7.6</v>
      </c>
      <c r="F217" s="36">
        <v>0.20630000000000001</v>
      </c>
      <c r="G217" s="36">
        <v>0.1045</v>
      </c>
      <c r="H217" s="36">
        <v>8.77E-2</v>
      </c>
      <c r="J217" s="8">
        <v>3</v>
      </c>
      <c r="K217" s="8" t="s">
        <v>127</v>
      </c>
      <c r="L217" s="8">
        <v>27</v>
      </c>
      <c r="M217" s="8">
        <v>31.4</v>
      </c>
      <c r="N217" s="36">
        <v>0.16300000000000001</v>
      </c>
      <c r="O217" s="36">
        <v>0.123</v>
      </c>
      <c r="P217" s="36">
        <v>0.10199999999999999</v>
      </c>
    </row>
    <row r="218" spans="1:16" ht="14" customHeight="1" x14ac:dyDescent="0.25">
      <c r="A218" s="154"/>
      <c r="B218" s="8">
        <v>4</v>
      </c>
      <c r="C218" s="8" t="s">
        <v>25</v>
      </c>
      <c r="D218" s="8">
        <v>3.1</v>
      </c>
      <c r="E218" s="8">
        <v>2.9</v>
      </c>
      <c r="F218" s="36">
        <v>-6.4500000000000002E-2</v>
      </c>
      <c r="G218" s="36">
        <v>5.1400000000000001E-2</v>
      </c>
      <c r="H218" s="36">
        <v>3.3399999999999999E-2</v>
      </c>
      <c r="J218" s="8">
        <v>4</v>
      </c>
      <c r="K218" s="8" t="s">
        <v>25</v>
      </c>
      <c r="L218" s="8">
        <v>10.8</v>
      </c>
      <c r="M218" s="8">
        <v>13.4</v>
      </c>
      <c r="N218" s="36">
        <v>0.24099999999999999</v>
      </c>
      <c r="O218" s="36">
        <v>4.9000000000000002E-2</v>
      </c>
      <c r="P218" s="36">
        <v>4.2999999999999997E-2</v>
      </c>
    </row>
    <row r="219" spans="1:16" ht="14" customHeight="1" x14ac:dyDescent="0.25">
      <c r="A219" s="154"/>
      <c r="B219" s="8">
        <v>5</v>
      </c>
      <c r="C219" s="8" t="s">
        <v>71</v>
      </c>
      <c r="D219" s="8">
        <v>3.3</v>
      </c>
      <c r="E219" s="8">
        <v>3.3</v>
      </c>
      <c r="F219" s="36">
        <v>0</v>
      </c>
      <c r="G219" s="36">
        <v>5.4699999999999999E-2</v>
      </c>
      <c r="H219" s="36">
        <v>3.8100000000000002E-2</v>
      </c>
      <c r="J219" s="8">
        <v>5</v>
      </c>
      <c r="K219" s="8" t="s">
        <v>71</v>
      </c>
      <c r="L219" s="8">
        <v>9.8000000000000007</v>
      </c>
      <c r="M219" s="8">
        <v>11.9</v>
      </c>
      <c r="N219" s="36">
        <v>0.214</v>
      </c>
      <c r="O219" s="36">
        <v>4.3999999999999997E-2</v>
      </c>
      <c r="P219" s="36">
        <v>3.9E-2</v>
      </c>
    </row>
    <row r="220" spans="1:16" ht="14" customHeight="1" x14ac:dyDescent="0.25">
      <c r="A220" s="154"/>
      <c r="B220" s="8">
        <v>6</v>
      </c>
      <c r="C220" s="8" t="s">
        <v>70</v>
      </c>
      <c r="D220" s="8">
        <v>1.7</v>
      </c>
      <c r="E220" s="8">
        <v>2.9</v>
      </c>
      <c r="F220" s="36">
        <v>0.70589999999999997</v>
      </c>
      <c r="G220" s="36">
        <v>2.8199999999999999E-2</v>
      </c>
      <c r="H220" s="36">
        <v>3.3399999999999999E-2</v>
      </c>
      <c r="J220" s="8">
        <v>6</v>
      </c>
      <c r="K220" s="8" t="s">
        <v>70</v>
      </c>
      <c r="L220" s="8">
        <v>5.8</v>
      </c>
      <c r="M220" s="8">
        <v>10.6</v>
      </c>
      <c r="N220" s="36">
        <v>0.82799999999999996</v>
      </c>
      <c r="O220" s="36">
        <v>2.5999999999999999E-2</v>
      </c>
      <c r="P220" s="36">
        <v>3.4000000000000002E-2</v>
      </c>
    </row>
    <row r="221" spans="1:16" ht="14" customHeight="1" x14ac:dyDescent="0.25">
      <c r="A221" s="154"/>
      <c r="B221" s="8">
        <v>7</v>
      </c>
      <c r="C221" s="8" t="s">
        <v>128</v>
      </c>
      <c r="D221" s="8">
        <v>2.8</v>
      </c>
      <c r="E221" s="8">
        <v>2.1</v>
      </c>
      <c r="F221" s="36">
        <v>-0.25</v>
      </c>
      <c r="G221" s="36">
        <v>4.6399999999999997E-2</v>
      </c>
      <c r="H221" s="36">
        <v>2.4199999999999999E-2</v>
      </c>
      <c r="J221" s="8">
        <v>7</v>
      </c>
      <c r="K221" s="8" t="s">
        <v>128</v>
      </c>
      <c r="L221" s="8">
        <v>11.6</v>
      </c>
      <c r="M221" s="8">
        <v>10.3</v>
      </c>
      <c r="N221" s="36">
        <v>-0.112</v>
      </c>
      <c r="O221" s="36">
        <v>5.2999999999999999E-2</v>
      </c>
      <c r="P221" s="36">
        <v>3.3000000000000002E-2</v>
      </c>
    </row>
    <row r="222" spans="1:16" ht="14" customHeight="1" x14ac:dyDescent="0.25">
      <c r="A222" s="154"/>
      <c r="B222" s="8">
        <v>8</v>
      </c>
      <c r="C222" s="8" t="s">
        <v>72</v>
      </c>
      <c r="D222" s="8">
        <v>2.6</v>
      </c>
      <c r="E222" s="8">
        <v>1.2</v>
      </c>
      <c r="F222" s="36">
        <v>-0.53849999999999998</v>
      </c>
      <c r="G222" s="36">
        <v>4.3099999999999999E-2</v>
      </c>
      <c r="H222" s="36">
        <v>1.38E-2</v>
      </c>
      <c r="J222" s="8">
        <v>8</v>
      </c>
      <c r="K222" s="8" t="s">
        <v>72</v>
      </c>
      <c r="L222" s="8">
        <v>10.3</v>
      </c>
      <c r="M222" s="8">
        <v>9.4</v>
      </c>
      <c r="N222" s="36">
        <v>-8.6999999999999994E-2</v>
      </c>
      <c r="O222" s="36">
        <v>4.7E-2</v>
      </c>
      <c r="P222" s="36">
        <v>0.03</v>
      </c>
    </row>
    <row r="223" spans="1:16" ht="14" customHeight="1" x14ac:dyDescent="0.25">
      <c r="A223" s="154"/>
      <c r="B223" s="8">
        <v>9</v>
      </c>
      <c r="C223" s="8" t="s">
        <v>73</v>
      </c>
      <c r="D223" s="8">
        <v>1.3</v>
      </c>
      <c r="E223" s="8">
        <v>2.6</v>
      </c>
      <c r="F223" s="36">
        <v>1</v>
      </c>
      <c r="G223" s="36">
        <v>2.1600000000000001E-2</v>
      </c>
      <c r="H223" s="36">
        <v>0.03</v>
      </c>
      <c r="J223" s="8">
        <v>9</v>
      </c>
      <c r="K223" s="8" t="s">
        <v>73</v>
      </c>
      <c r="L223" s="8">
        <v>4.9000000000000004</v>
      </c>
      <c r="M223" s="8">
        <v>8.3000000000000007</v>
      </c>
      <c r="N223" s="36">
        <v>0.69399999999999995</v>
      </c>
      <c r="O223" s="36">
        <v>2.1999999999999999E-2</v>
      </c>
      <c r="P223" s="36">
        <v>2.7E-2</v>
      </c>
    </row>
    <row r="224" spans="1:16" ht="14" customHeight="1" x14ac:dyDescent="0.25">
      <c r="A224" s="154"/>
      <c r="B224" s="8">
        <v>10</v>
      </c>
      <c r="C224" s="8" t="s">
        <v>74</v>
      </c>
      <c r="D224" s="8">
        <v>1</v>
      </c>
      <c r="E224" s="8">
        <v>2.5</v>
      </c>
      <c r="F224" s="36">
        <v>1.5</v>
      </c>
      <c r="G224" s="36">
        <v>1.66E-2</v>
      </c>
      <c r="H224" s="36">
        <v>2.8799999999999999E-2</v>
      </c>
      <c r="J224" s="8">
        <v>10</v>
      </c>
      <c r="K224" s="8" t="s">
        <v>74</v>
      </c>
      <c r="L224" s="8">
        <v>3.8</v>
      </c>
      <c r="M224" s="8">
        <v>8.1</v>
      </c>
      <c r="N224" s="36">
        <v>1.1319999999999999</v>
      </c>
      <c r="O224" s="36">
        <v>1.7000000000000001E-2</v>
      </c>
      <c r="P224" s="36">
        <v>2.5999999999999999E-2</v>
      </c>
    </row>
    <row r="225" spans="1:24" ht="14" customHeight="1" x14ac:dyDescent="0.25">
      <c r="A225" s="154"/>
      <c r="B225" s="8"/>
      <c r="C225" s="8" t="s">
        <v>77</v>
      </c>
      <c r="D225" s="8">
        <v>6</v>
      </c>
      <c r="E225" s="8">
        <v>10.6</v>
      </c>
      <c r="F225" s="36">
        <v>0.76670000000000005</v>
      </c>
      <c r="G225" s="36">
        <v>9.9500000000000005E-2</v>
      </c>
      <c r="H225" s="36">
        <v>0.12230000000000001</v>
      </c>
      <c r="J225" s="8"/>
      <c r="K225" s="8" t="s">
        <v>77</v>
      </c>
      <c r="L225" s="8">
        <v>20.399999999999999</v>
      </c>
      <c r="M225" s="8">
        <v>34.1</v>
      </c>
      <c r="N225" s="36">
        <v>0.67200000000000004</v>
      </c>
      <c r="O225" s="36">
        <v>9.2999999999999999E-2</v>
      </c>
      <c r="P225" s="36">
        <v>0.111</v>
      </c>
    </row>
    <row r="226" spans="1:24" ht="14" customHeight="1" x14ac:dyDescent="0.25">
      <c r="A226" s="154"/>
      <c r="B226" s="8"/>
      <c r="C226" s="8" t="s">
        <v>78</v>
      </c>
      <c r="D226" s="8">
        <v>60.3</v>
      </c>
      <c r="E226" s="8">
        <v>86.7</v>
      </c>
      <c r="F226" s="36">
        <v>0.43780000000000002</v>
      </c>
      <c r="G226" s="36">
        <v>1</v>
      </c>
      <c r="H226" s="36">
        <v>1</v>
      </c>
      <c r="J226" s="8"/>
      <c r="K226" s="8" t="s">
        <v>78</v>
      </c>
      <c r="L226" s="8">
        <v>220.1</v>
      </c>
      <c r="M226" s="8">
        <v>308.5</v>
      </c>
      <c r="N226" s="36">
        <v>0.40200000000000002</v>
      </c>
      <c r="O226" s="36">
        <v>1</v>
      </c>
      <c r="P226" s="36">
        <v>1</v>
      </c>
      <c r="R226" s="14"/>
    </row>
    <row r="227" spans="1:24" ht="14" customHeight="1" x14ac:dyDescent="0.25">
      <c r="A227" s="154"/>
      <c r="B227" s="11"/>
      <c r="J227" s="11"/>
    </row>
    <row r="228" spans="1:24" ht="14" customHeight="1" x14ac:dyDescent="0.25">
      <c r="A228" s="154"/>
      <c r="B228" s="11" t="s">
        <v>94</v>
      </c>
      <c r="J228" s="11" t="s">
        <v>95</v>
      </c>
    </row>
    <row r="229" spans="1:24" s="216" customFormat="1" ht="14" customHeight="1" x14ac:dyDescent="0.25">
      <c r="A229" s="217"/>
      <c r="B229" s="37" t="s">
        <v>96</v>
      </c>
      <c r="C229" s="7" t="s">
        <v>381</v>
      </c>
      <c r="D229" s="146">
        <v>45352</v>
      </c>
      <c r="E229" s="146">
        <v>45717</v>
      </c>
      <c r="F229" s="7" t="s">
        <v>34</v>
      </c>
      <c r="G229" s="7" t="s">
        <v>97</v>
      </c>
      <c r="H229" s="7" t="s">
        <v>681</v>
      </c>
      <c r="I229" s="42"/>
      <c r="J229" s="37" t="s">
        <v>96</v>
      </c>
      <c r="K229" s="7" t="s">
        <v>381</v>
      </c>
      <c r="L229" s="146" t="s">
        <v>165</v>
      </c>
      <c r="M229" s="146" t="s">
        <v>690</v>
      </c>
      <c r="N229" s="7" t="s">
        <v>34</v>
      </c>
      <c r="O229" s="7" t="s">
        <v>97</v>
      </c>
      <c r="P229" s="7" t="s">
        <v>681</v>
      </c>
      <c r="Q229" s="42"/>
    </row>
    <row r="230" spans="1:24" ht="14" customHeight="1" x14ac:dyDescent="0.25">
      <c r="B230" s="7">
        <v>1</v>
      </c>
      <c r="C230" s="7" t="s">
        <v>98</v>
      </c>
      <c r="D230" s="7">
        <v>25.1</v>
      </c>
      <c r="E230" s="7">
        <v>35.299999999999997</v>
      </c>
      <c r="F230" s="38">
        <v>0.40639999999999998</v>
      </c>
      <c r="G230" s="38">
        <v>0.3735</v>
      </c>
      <c r="H230" s="38">
        <v>0.3841</v>
      </c>
      <c r="J230" s="7">
        <v>1</v>
      </c>
      <c r="K230" s="7" t="s">
        <v>98</v>
      </c>
      <c r="L230" s="7">
        <v>60.6</v>
      </c>
      <c r="M230" s="39">
        <v>84.9</v>
      </c>
      <c r="N230" s="40">
        <v>0.40200000000000002</v>
      </c>
      <c r="O230" s="38">
        <v>0.379</v>
      </c>
      <c r="P230" s="38">
        <v>0.38300000000000001</v>
      </c>
      <c r="R230" s="12"/>
      <c r="S230" s="12"/>
      <c r="T230" s="12"/>
      <c r="U230" s="12"/>
      <c r="V230" s="13"/>
      <c r="W230" s="13"/>
      <c r="X230" s="13"/>
    </row>
    <row r="231" spans="1:24" ht="14" customHeight="1" x14ac:dyDescent="0.25">
      <c r="B231" s="7">
        <v>2</v>
      </c>
      <c r="C231" s="7" t="s">
        <v>99</v>
      </c>
      <c r="D231" s="7">
        <v>10.7</v>
      </c>
      <c r="E231" s="7">
        <v>15.1</v>
      </c>
      <c r="F231" s="38">
        <v>0.41120000000000001</v>
      </c>
      <c r="G231" s="38">
        <v>0.15920000000000001</v>
      </c>
      <c r="H231" s="38">
        <v>0.1643</v>
      </c>
      <c r="J231" s="7">
        <v>2</v>
      </c>
      <c r="K231" s="7" t="s">
        <v>99</v>
      </c>
      <c r="L231" s="7">
        <v>22.8</v>
      </c>
      <c r="M231" s="39">
        <v>37</v>
      </c>
      <c r="N231" s="40">
        <v>0.62</v>
      </c>
      <c r="O231" s="38">
        <v>0.14299999999999999</v>
      </c>
      <c r="P231" s="38">
        <v>0.16700000000000001</v>
      </c>
      <c r="R231" s="12"/>
      <c r="S231" s="12"/>
      <c r="T231" s="12"/>
      <c r="U231" s="12"/>
      <c r="V231" s="13"/>
      <c r="W231" s="13"/>
      <c r="X231" s="13"/>
    </row>
    <row r="232" spans="1:24" ht="14" customHeight="1" x14ac:dyDescent="0.25">
      <c r="B232" s="7">
        <v>3</v>
      </c>
      <c r="C232" s="7" t="s">
        <v>172</v>
      </c>
      <c r="D232" s="7">
        <v>9</v>
      </c>
      <c r="E232" s="7">
        <v>11.1</v>
      </c>
      <c r="F232" s="38">
        <v>0.23330000000000001</v>
      </c>
      <c r="G232" s="38">
        <v>0.13389999999999999</v>
      </c>
      <c r="H232" s="38">
        <v>0.1208</v>
      </c>
      <c r="J232" s="7">
        <v>3</v>
      </c>
      <c r="K232" s="7" t="s">
        <v>172</v>
      </c>
      <c r="L232" s="7">
        <v>20.7</v>
      </c>
      <c r="M232" s="39">
        <v>23.8</v>
      </c>
      <c r="N232" s="40">
        <v>0.151</v>
      </c>
      <c r="O232" s="38">
        <v>0.129</v>
      </c>
      <c r="P232" s="38">
        <v>0.107</v>
      </c>
      <c r="R232" s="12"/>
      <c r="S232" s="12"/>
      <c r="T232" s="12"/>
      <c r="U232" s="12"/>
      <c r="V232" s="13"/>
      <c r="W232" s="13"/>
      <c r="X232" s="13"/>
    </row>
    <row r="233" spans="1:24" ht="14" customHeight="1" x14ac:dyDescent="0.25">
      <c r="B233" s="7">
        <v>4</v>
      </c>
      <c r="C233" s="7" t="s">
        <v>25</v>
      </c>
      <c r="D233" s="7">
        <v>3.3</v>
      </c>
      <c r="E233" s="7">
        <v>4.4000000000000004</v>
      </c>
      <c r="F233" s="38">
        <v>0.33329999999999999</v>
      </c>
      <c r="G233" s="38">
        <v>4.9099999999999998E-2</v>
      </c>
      <c r="H233" s="38">
        <v>4.7899999999999998E-2</v>
      </c>
      <c r="J233" s="7">
        <v>4</v>
      </c>
      <c r="K233" s="7" t="s">
        <v>25</v>
      </c>
      <c r="L233" s="7">
        <v>7.7</v>
      </c>
      <c r="M233" s="39">
        <v>10.5</v>
      </c>
      <c r="N233" s="40">
        <v>0.35599999999999998</v>
      </c>
      <c r="O233" s="38">
        <v>4.8000000000000001E-2</v>
      </c>
      <c r="P233" s="38">
        <v>4.7E-2</v>
      </c>
      <c r="R233" s="12"/>
      <c r="S233" s="12"/>
      <c r="T233" s="12"/>
      <c r="U233" s="12"/>
      <c r="V233" s="13"/>
      <c r="W233" s="13"/>
      <c r="X233" s="13"/>
    </row>
    <row r="234" spans="1:24" ht="14" customHeight="1" x14ac:dyDescent="0.25">
      <c r="B234" s="7">
        <v>5</v>
      </c>
      <c r="C234" s="7" t="s">
        <v>100</v>
      </c>
      <c r="D234" s="7">
        <v>3</v>
      </c>
      <c r="E234" s="7">
        <v>3.6</v>
      </c>
      <c r="F234" s="38">
        <v>0.2</v>
      </c>
      <c r="G234" s="38">
        <v>4.4600000000000001E-2</v>
      </c>
      <c r="H234" s="38">
        <v>3.9199999999999999E-2</v>
      </c>
      <c r="J234" s="7">
        <v>5</v>
      </c>
      <c r="K234" s="7" t="s">
        <v>100</v>
      </c>
      <c r="L234" s="7">
        <v>6.5</v>
      </c>
      <c r="M234" s="39">
        <v>8.6</v>
      </c>
      <c r="N234" s="40">
        <v>0.315</v>
      </c>
      <c r="O234" s="38">
        <v>4.1000000000000002E-2</v>
      </c>
      <c r="P234" s="38">
        <v>3.9E-2</v>
      </c>
      <c r="R234" s="12"/>
      <c r="S234" s="12"/>
      <c r="T234" s="12"/>
      <c r="U234" s="12"/>
      <c r="V234" s="13"/>
      <c r="W234" s="13"/>
      <c r="X234" s="13"/>
    </row>
    <row r="235" spans="1:24" ht="14" customHeight="1" x14ac:dyDescent="0.25">
      <c r="B235" s="7">
        <v>6</v>
      </c>
      <c r="C235" s="7" t="s">
        <v>101</v>
      </c>
      <c r="D235" s="7">
        <v>1.5</v>
      </c>
      <c r="E235" s="7">
        <v>3.1</v>
      </c>
      <c r="F235" s="38">
        <v>1.0667</v>
      </c>
      <c r="G235" s="38">
        <v>2.23E-2</v>
      </c>
      <c r="H235" s="38">
        <v>3.3700000000000001E-2</v>
      </c>
      <c r="J235" s="7">
        <v>6</v>
      </c>
      <c r="K235" s="7" t="s">
        <v>101</v>
      </c>
      <c r="L235" s="7">
        <v>4.0999999999999996</v>
      </c>
      <c r="M235" s="39">
        <v>7.7</v>
      </c>
      <c r="N235" s="40">
        <v>0.86599999999999999</v>
      </c>
      <c r="O235" s="38">
        <v>2.5999999999999999E-2</v>
      </c>
      <c r="P235" s="38">
        <v>3.5000000000000003E-2</v>
      </c>
      <c r="R235" s="12"/>
      <c r="S235" s="12"/>
      <c r="T235" s="12"/>
      <c r="U235" s="12"/>
      <c r="V235" s="13"/>
      <c r="W235" s="13"/>
      <c r="X235" s="13"/>
    </row>
    <row r="236" spans="1:24" ht="14" customHeight="1" x14ac:dyDescent="0.25">
      <c r="B236" s="7">
        <v>7</v>
      </c>
      <c r="C236" s="7" t="s">
        <v>173</v>
      </c>
      <c r="D236" s="7">
        <v>3.4</v>
      </c>
      <c r="E236" s="7">
        <v>3.1</v>
      </c>
      <c r="F236" s="38">
        <v>-8.8200000000000001E-2</v>
      </c>
      <c r="G236" s="38">
        <v>5.0599999999999999E-2</v>
      </c>
      <c r="H236" s="38">
        <v>3.3700000000000001E-2</v>
      </c>
      <c r="J236" s="7">
        <v>7</v>
      </c>
      <c r="K236" s="7" t="s">
        <v>173</v>
      </c>
      <c r="L236" s="7">
        <v>8.8000000000000007</v>
      </c>
      <c r="M236" s="39">
        <v>7.3</v>
      </c>
      <c r="N236" s="40">
        <v>-0.17199999999999999</v>
      </c>
      <c r="O236" s="38">
        <v>5.5E-2</v>
      </c>
      <c r="P236" s="38">
        <v>3.3000000000000002E-2</v>
      </c>
      <c r="R236" s="12"/>
      <c r="S236" s="12"/>
      <c r="T236" s="12"/>
      <c r="U236" s="12"/>
      <c r="V236" s="13"/>
      <c r="W236" s="13"/>
      <c r="X236" s="13"/>
    </row>
    <row r="237" spans="1:24" ht="14" customHeight="1" x14ac:dyDescent="0.25">
      <c r="B237" s="7">
        <v>8</v>
      </c>
      <c r="C237" s="7" t="s">
        <v>102</v>
      </c>
      <c r="D237" s="7">
        <v>2.6</v>
      </c>
      <c r="E237" s="7">
        <v>2.1</v>
      </c>
      <c r="F237" s="38">
        <v>-0.1923</v>
      </c>
      <c r="G237" s="38">
        <v>3.8699999999999998E-2</v>
      </c>
      <c r="H237" s="38">
        <v>2.2800000000000001E-2</v>
      </c>
      <c r="J237" s="7">
        <v>8</v>
      </c>
      <c r="K237" s="7" t="s">
        <v>102</v>
      </c>
      <c r="L237" s="7">
        <v>7.7</v>
      </c>
      <c r="M237" s="39">
        <v>7.2</v>
      </c>
      <c r="N237" s="40">
        <v>-6.3E-2</v>
      </c>
      <c r="O237" s="38">
        <v>4.8000000000000001E-2</v>
      </c>
      <c r="P237" s="38">
        <v>3.3000000000000002E-2</v>
      </c>
      <c r="R237" s="12"/>
      <c r="S237" s="12"/>
      <c r="T237" s="12"/>
      <c r="U237" s="12"/>
      <c r="V237" s="13"/>
      <c r="W237" s="13"/>
      <c r="X237" s="13"/>
    </row>
    <row r="238" spans="1:24" ht="14" customHeight="1" x14ac:dyDescent="0.25">
      <c r="B238" s="7">
        <v>9</v>
      </c>
      <c r="C238" s="7" t="s">
        <v>103</v>
      </c>
      <c r="D238" s="7">
        <v>1.7</v>
      </c>
      <c r="E238" s="7">
        <v>2.6</v>
      </c>
      <c r="F238" s="38">
        <v>0.52939999999999998</v>
      </c>
      <c r="G238" s="38">
        <v>2.53E-2</v>
      </c>
      <c r="H238" s="38">
        <v>2.8299999999999999E-2</v>
      </c>
      <c r="J238" s="7">
        <v>9</v>
      </c>
      <c r="K238" s="7" t="s">
        <v>103</v>
      </c>
      <c r="L238" s="7">
        <v>3.6</v>
      </c>
      <c r="M238" s="39">
        <v>5.7</v>
      </c>
      <c r="N238" s="40">
        <v>0.59599999999999997</v>
      </c>
      <c r="O238" s="38">
        <v>2.1999999999999999E-2</v>
      </c>
      <c r="P238" s="38">
        <v>2.5999999999999999E-2</v>
      </c>
      <c r="R238" s="12"/>
      <c r="S238" s="12"/>
      <c r="T238" s="12"/>
      <c r="U238" s="12"/>
      <c r="V238" s="13"/>
      <c r="W238" s="13"/>
      <c r="X238" s="13"/>
    </row>
    <row r="239" spans="1:24" ht="14" customHeight="1" x14ac:dyDescent="0.25">
      <c r="B239" s="7">
        <v>10</v>
      </c>
      <c r="C239" s="7" t="s">
        <v>104</v>
      </c>
      <c r="D239" s="7">
        <v>1.1000000000000001</v>
      </c>
      <c r="E239" s="7">
        <v>2.1</v>
      </c>
      <c r="F239" s="38">
        <v>0.90910000000000002</v>
      </c>
      <c r="G239" s="38">
        <v>1.6400000000000001E-2</v>
      </c>
      <c r="H239" s="38">
        <v>2.2800000000000001E-2</v>
      </c>
      <c r="J239" s="7">
        <v>10</v>
      </c>
      <c r="K239" s="7" t="s">
        <v>104</v>
      </c>
      <c r="L239" s="7">
        <v>2.8</v>
      </c>
      <c r="M239" s="39">
        <v>5.6</v>
      </c>
      <c r="N239" s="40">
        <v>1.002</v>
      </c>
      <c r="O239" s="38">
        <v>1.7000000000000001E-2</v>
      </c>
      <c r="P239" s="38">
        <v>2.5000000000000001E-2</v>
      </c>
      <c r="R239" s="12"/>
      <c r="S239" s="12"/>
      <c r="T239" s="12"/>
      <c r="U239" s="12"/>
      <c r="V239" s="13"/>
      <c r="W239" s="13"/>
      <c r="X239" s="13"/>
    </row>
    <row r="240" spans="1:24" ht="14" customHeight="1" x14ac:dyDescent="0.25">
      <c r="B240" s="7" t="s">
        <v>31</v>
      </c>
      <c r="C240" s="7" t="s">
        <v>105</v>
      </c>
      <c r="D240" s="7">
        <v>5.7</v>
      </c>
      <c r="E240" s="7">
        <v>9.3000000000000007</v>
      </c>
      <c r="F240" s="38">
        <v>0.63160000000000005</v>
      </c>
      <c r="G240" s="38">
        <v>8.48E-2</v>
      </c>
      <c r="H240" s="38">
        <v>0.1012</v>
      </c>
      <c r="J240" s="218"/>
      <c r="K240" s="7" t="s">
        <v>105</v>
      </c>
      <c r="L240" s="7">
        <v>14.4</v>
      </c>
      <c r="M240" s="39">
        <v>23.5</v>
      </c>
      <c r="N240" s="40">
        <v>0.63500000000000001</v>
      </c>
      <c r="O240" s="38">
        <v>0.09</v>
      </c>
      <c r="P240" s="38">
        <v>0.106</v>
      </c>
      <c r="R240" s="12"/>
      <c r="S240" s="12"/>
      <c r="T240" s="12"/>
      <c r="U240" s="12"/>
      <c r="V240" s="13"/>
      <c r="W240" s="13"/>
      <c r="X240" s="13"/>
    </row>
    <row r="241" spans="1:24" ht="14" customHeight="1" x14ac:dyDescent="0.25">
      <c r="B241" s="7" t="s">
        <v>31</v>
      </c>
      <c r="C241" s="7" t="s">
        <v>106</v>
      </c>
      <c r="D241" s="7">
        <v>67.2</v>
      </c>
      <c r="E241" s="7">
        <v>91.9</v>
      </c>
      <c r="F241" s="38">
        <v>0.36759999999999998</v>
      </c>
      <c r="G241" s="38">
        <v>1</v>
      </c>
      <c r="H241" s="38">
        <v>1</v>
      </c>
      <c r="J241" s="218"/>
      <c r="K241" s="7" t="s">
        <v>106</v>
      </c>
      <c r="L241" s="7">
        <v>159.80000000000001</v>
      </c>
      <c r="M241" s="39">
        <v>221.8</v>
      </c>
      <c r="N241" s="40">
        <v>0.38800000000000001</v>
      </c>
      <c r="O241" s="38">
        <v>1</v>
      </c>
      <c r="P241" s="38">
        <v>1</v>
      </c>
      <c r="R241" s="12"/>
      <c r="S241" s="12"/>
      <c r="T241" s="12"/>
      <c r="U241" s="12"/>
      <c r="V241" s="13"/>
      <c r="W241" s="13"/>
      <c r="X241" s="216"/>
    </row>
    <row r="242" spans="1:24" ht="14" customHeight="1" x14ac:dyDescent="0.25">
      <c r="A242" s="154"/>
      <c r="B242" s="11"/>
      <c r="J242" s="11"/>
      <c r="S242" s="11"/>
    </row>
    <row r="243" spans="1:24" ht="14" customHeight="1" x14ac:dyDescent="0.25">
      <c r="A243" s="154"/>
      <c r="B243" s="11" t="s">
        <v>107</v>
      </c>
      <c r="J243" s="11" t="s">
        <v>108</v>
      </c>
    </row>
    <row r="244" spans="1:24" s="216" customFormat="1" ht="14" customHeight="1" x14ac:dyDescent="0.25">
      <c r="A244" s="217"/>
      <c r="B244" s="37" t="s">
        <v>96</v>
      </c>
      <c r="C244" s="7" t="s">
        <v>381</v>
      </c>
      <c r="D244" s="146">
        <v>45323</v>
      </c>
      <c r="E244" s="146">
        <v>45689</v>
      </c>
      <c r="F244" s="7" t="s">
        <v>34</v>
      </c>
      <c r="G244" s="7" t="s">
        <v>97</v>
      </c>
      <c r="H244" s="7" t="s">
        <v>681</v>
      </c>
      <c r="J244" s="37" t="s">
        <v>96</v>
      </c>
      <c r="K244" s="7" t="s">
        <v>381</v>
      </c>
      <c r="L244" s="146" t="s">
        <v>169</v>
      </c>
      <c r="M244" s="146" t="s">
        <v>691</v>
      </c>
      <c r="N244" s="7" t="s">
        <v>34</v>
      </c>
      <c r="O244" s="7" t="s">
        <v>97</v>
      </c>
      <c r="P244" s="7" t="s">
        <v>681</v>
      </c>
    </row>
    <row r="245" spans="1:24" ht="14" customHeight="1" x14ac:dyDescent="0.25">
      <c r="A245" s="155"/>
      <c r="B245" s="37">
        <v>1</v>
      </c>
      <c r="C245" s="37" t="s">
        <v>109</v>
      </c>
      <c r="D245" s="41">
        <f>L245-L260</f>
        <v>15.5</v>
      </c>
      <c r="E245" s="41">
        <f>M245-M260</f>
        <v>24.6</v>
      </c>
      <c r="F245" s="40">
        <f>E245/D245-1</f>
        <v>0.58709677419354844</v>
      </c>
      <c r="G245" s="40">
        <f>D245/$D$256</f>
        <v>0.37439613526570054</v>
      </c>
      <c r="H245" s="40">
        <f>E245/$E$256</f>
        <v>0.375</v>
      </c>
      <c r="J245" s="37">
        <v>1</v>
      </c>
      <c r="K245" s="37" t="s">
        <v>109</v>
      </c>
      <c r="L245" s="41">
        <v>35.5</v>
      </c>
      <c r="M245" s="41">
        <v>49.6</v>
      </c>
      <c r="N245" s="40">
        <v>0.39700000000000002</v>
      </c>
      <c r="O245" s="40">
        <v>0.38300000000000001</v>
      </c>
      <c r="P245" s="40">
        <v>0.38200000000000001</v>
      </c>
    </row>
    <row r="246" spans="1:24" ht="14" customHeight="1" x14ac:dyDescent="0.25">
      <c r="A246" s="155"/>
      <c r="B246" s="37">
        <v>2</v>
      </c>
      <c r="C246" s="37" t="s">
        <v>110</v>
      </c>
      <c r="D246" s="41">
        <f t="shared" ref="D246:D256" si="54">L246-L261</f>
        <v>4.5</v>
      </c>
      <c r="E246" s="41">
        <f t="shared" ref="E246:E256" si="55">M246-M261</f>
        <v>10.999999999999998</v>
      </c>
      <c r="F246" s="40">
        <f t="shared" ref="F246:F256" si="56">E246/D246-1</f>
        <v>1.4444444444444442</v>
      </c>
      <c r="G246" s="40">
        <f t="shared" ref="G246:G256" si="57">D246/$D$256</f>
        <v>0.10869565217391307</v>
      </c>
      <c r="H246" s="40">
        <f t="shared" ref="H246:H256" si="58">E246/$E$256</f>
        <v>0.16768292682926825</v>
      </c>
      <c r="J246" s="37">
        <v>2</v>
      </c>
      <c r="K246" s="37" t="s">
        <v>110</v>
      </c>
      <c r="L246" s="41">
        <v>12.1</v>
      </c>
      <c r="M246" s="41">
        <v>21.9</v>
      </c>
      <c r="N246" s="40">
        <v>0.81</v>
      </c>
      <c r="O246" s="40">
        <v>0.13100000000000001</v>
      </c>
      <c r="P246" s="40">
        <v>0.16900000000000001</v>
      </c>
    </row>
    <row r="247" spans="1:24" ht="14" customHeight="1" x14ac:dyDescent="0.25">
      <c r="A247" s="155"/>
      <c r="B247" s="37">
        <v>3</v>
      </c>
      <c r="C247" s="37" t="s">
        <v>111</v>
      </c>
      <c r="D247" s="41">
        <f t="shared" si="54"/>
        <v>6.1999999999999993</v>
      </c>
      <c r="E247" s="41">
        <f t="shared" si="55"/>
        <v>6.6999999999999993</v>
      </c>
      <c r="F247" s="40">
        <f t="shared" si="56"/>
        <v>8.0645161290322509E-2</v>
      </c>
      <c r="G247" s="40">
        <f t="shared" si="57"/>
        <v>0.14975845410628022</v>
      </c>
      <c r="H247" s="40">
        <f t="shared" si="58"/>
        <v>0.10213414634146339</v>
      </c>
      <c r="J247" s="37">
        <v>3</v>
      </c>
      <c r="K247" s="37" t="s">
        <v>111</v>
      </c>
      <c r="L247" s="41">
        <v>11.7</v>
      </c>
      <c r="M247" s="41">
        <v>12.7</v>
      </c>
      <c r="N247" s="40">
        <v>8.5000000000000006E-2</v>
      </c>
      <c r="O247" s="40">
        <v>0.126</v>
      </c>
      <c r="P247" s="40">
        <v>9.8000000000000004E-2</v>
      </c>
    </row>
    <row r="248" spans="1:24" ht="14" customHeight="1" x14ac:dyDescent="0.25">
      <c r="A248" s="155"/>
      <c r="B248" s="37">
        <v>4</v>
      </c>
      <c r="C248" s="37" t="s">
        <v>36</v>
      </c>
      <c r="D248" s="41">
        <f t="shared" si="54"/>
        <v>2.3000000000000003</v>
      </c>
      <c r="E248" s="41">
        <f t="shared" si="55"/>
        <v>3.1999999999999997</v>
      </c>
      <c r="F248" s="40">
        <f t="shared" si="56"/>
        <v>0.3913043478260867</v>
      </c>
      <c r="G248" s="40">
        <f t="shared" si="57"/>
        <v>5.5555555555555573E-2</v>
      </c>
      <c r="H248" s="40">
        <f t="shared" si="58"/>
        <v>4.8780487804878037E-2</v>
      </c>
      <c r="J248" s="37">
        <v>4</v>
      </c>
      <c r="K248" s="37" t="s">
        <v>36</v>
      </c>
      <c r="L248" s="41">
        <v>4.4000000000000004</v>
      </c>
      <c r="M248" s="41">
        <v>6.1</v>
      </c>
      <c r="N248" s="40">
        <v>0.38600000000000001</v>
      </c>
      <c r="O248" s="40">
        <v>4.8000000000000001E-2</v>
      </c>
      <c r="P248" s="40">
        <v>4.7E-2</v>
      </c>
    </row>
    <row r="249" spans="1:24" ht="14" customHeight="1" x14ac:dyDescent="0.25">
      <c r="A249" s="155"/>
      <c r="B249" s="37">
        <v>5</v>
      </c>
      <c r="C249" s="37" t="s">
        <v>112</v>
      </c>
      <c r="D249" s="41">
        <f t="shared" si="54"/>
        <v>2.5999999999999996</v>
      </c>
      <c r="E249" s="41">
        <f t="shared" si="55"/>
        <v>2.5999999999999996</v>
      </c>
      <c r="F249" s="40">
        <f t="shared" si="56"/>
        <v>0</v>
      </c>
      <c r="G249" s="40">
        <f t="shared" si="57"/>
        <v>6.280193236714976E-2</v>
      </c>
      <c r="H249" s="40">
        <f t="shared" si="58"/>
        <v>3.9634146341463401E-2</v>
      </c>
      <c r="J249" s="37">
        <v>5</v>
      </c>
      <c r="K249" s="37" t="s">
        <v>112</v>
      </c>
      <c r="L249" s="41">
        <v>5.0999999999999996</v>
      </c>
      <c r="M249" s="41">
        <v>5.0999999999999996</v>
      </c>
      <c r="N249" s="40">
        <v>0</v>
      </c>
      <c r="O249" s="40">
        <v>5.5E-2</v>
      </c>
      <c r="P249" s="40">
        <v>3.9E-2</v>
      </c>
    </row>
    <row r="250" spans="1:24" ht="14" customHeight="1" x14ac:dyDescent="0.25">
      <c r="A250" s="155"/>
      <c r="B250" s="37">
        <v>6</v>
      </c>
      <c r="C250" s="37" t="s">
        <v>113</v>
      </c>
      <c r="D250" s="41">
        <f t="shared" si="54"/>
        <v>1.4</v>
      </c>
      <c r="E250" s="41">
        <f t="shared" si="55"/>
        <v>2.6</v>
      </c>
      <c r="F250" s="40">
        <f t="shared" si="56"/>
        <v>0.85714285714285743</v>
      </c>
      <c r="G250" s="40">
        <f t="shared" si="57"/>
        <v>3.3816425120772951E-2</v>
      </c>
      <c r="H250" s="40">
        <f t="shared" si="58"/>
        <v>3.9634146341463408E-2</v>
      </c>
      <c r="J250" s="37">
        <v>6</v>
      </c>
      <c r="K250" s="37" t="s">
        <v>113</v>
      </c>
      <c r="L250" s="41">
        <v>3.5</v>
      </c>
      <c r="M250" s="41">
        <v>5</v>
      </c>
      <c r="N250" s="40">
        <v>0.42899999999999999</v>
      </c>
      <c r="O250" s="40">
        <v>3.7999999999999999E-2</v>
      </c>
      <c r="P250" s="40">
        <v>3.7999999999999999E-2</v>
      </c>
    </row>
    <row r="251" spans="1:24" ht="14" customHeight="1" x14ac:dyDescent="0.25">
      <c r="A251" s="155"/>
      <c r="B251" s="37">
        <v>7</v>
      </c>
      <c r="C251" s="37" t="s">
        <v>114</v>
      </c>
      <c r="D251" s="41">
        <f t="shared" si="54"/>
        <v>1</v>
      </c>
      <c r="E251" s="41">
        <f t="shared" si="55"/>
        <v>2.3999999999999995</v>
      </c>
      <c r="F251" s="40">
        <f t="shared" si="56"/>
        <v>1.3999999999999995</v>
      </c>
      <c r="G251" s="40">
        <f t="shared" si="57"/>
        <v>2.4154589371980683E-2</v>
      </c>
      <c r="H251" s="40">
        <f t="shared" si="58"/>
        <v>3.6585365853658521E-2</v>
      </c>
      <c r="J251" s="37">
        <v>7</v>
      </c>
      <c r="K251" s="37" t="s">
        <v>114</v>
      </c>
      <c r="L251" s="41">
        <v>2.6</v>
      </c>
      <c r="M251" s="41">
        <v>4.5999999999999996</v>
      </c>
      <c r="N251" s="40">
        <v>0.76900000000000002</v>
      </c>
      <c r="O251" s="40">
        <v>2.8000000000000001E-2</v>
      </c>
      <c r="P251" s="40">
        <v>3.5000000000000003E-2</v>
      </c>
    </row>
    <row r="252" spans="1:24" ht="14" customHeight="1" x14ac:dyDescent="0.25">
      <c r="A252" s="155"/>
      <c r="B252" s="37">
        <v>8</v>
      </c>
      <c r="C252" s="37" t="s">
        <v>115</v>
      </c>
      <c r="D252" s="41">
        <f t="shared" si="54"/>
        <v>2.8000000000000003</v>
      </c>
      <c r="E252" s="41">
        <f t="shared" si="55"/>
        <v>2.2000000000000002</v>
      </c>
      <c r="F252" s="40">
        <f t="shared" si="56"/>
        <v>-0.2142857142857143</v>
      </c>
      <c r="G252" s="40">
        <f t="shared" si="57"/>
        <v>6.7632850241545917E-2</v>
      </c>
      <c r="H252" s="40">
        <f t="shared" si="58"/>
        <v>3.3536585365853654E-2</v>
      </c>
      <c r="J252" s="37">
        <v>8</v>
      </c>
      <c r="K252" s="37" t="s">
        <v>115</v>
      </c>
      <c r="L252" s="41">
        <v>5.4</v>
      </c>
      <c r="M252" s="41">
        <v>4.2</v>
      </c>
      <c r="N252" s="40">
        <v>-0.222</v>
      </c>
      <c r="O252" s="40">
        <v>5.8000000000000003E-2</v>
      </c>
      <c r="P252" s="40">
        <v>3.2000000000000001E-2</v>
      </c>
    </row>
    <row r="253" spans="1:24" ht="14" customHeight="1" x14ac:dyDescent="0.25">
      <c r="A253" s="155"/>
      <c r="B253" s="37">
        <v>9</v>
      </c>
      <c r="C253" s="37" t="s">
        <v>116</v>
      </c>
      <c r="D253" s="41">
        <f t="shared" si="54"/>
        <v>0.5</v>
      </c>
      <c r="E253" s="41">
        <f t="shared" si="55"/>
        <v>1.6</v>
      </c>
      <c r="F253" s="40">
        <f t="shared" si="56"/>
        <v>2.2000000000000002</v>
      </c>
      <c r="G253" s="40">
        <f t="shared" si="57"/>
        <v>1.2077294685990341E-2</v>
      </c>
      <c r="H253" s="40">
        <f t="shared" si="58"/>
        <v>2.4390243902439022E-2</v>
      </c>
      <c r="J253" s="37">
        <v>9</v>
      </c>
      <c r="K253" s="37" t="s">
        <v>116</v>
      </c>
      <c r="L253" s="41">
        <v>1.7</v>
      </c>
      <c r="M253" s="41">
        <v>3.5</v>
      </c>
      <c r="N253" s="40">
        <v>1.0589999999999999</v>
      </c>
      <c r="O253" s="40">
        <v>1.7999999999999999E-2</v>
      </c>
      <c r="P253" s="40">
        <v>2.7E-2</v>
      </c>
    </row>
    <row r="254" spans="1:24" ht="14" customHeight="1" x14ac:dyDescent="0.25">
      <c r="A254" s="155"/>
      <c r="B254" s="37">
        <v>10</v>
      </c>
      <c r="C254" s="37" t="s">
        <v>117</v>
      </c>
      <c r="D254" s="41">
        <f t="shared" si="54"/>
        <v>0.79999999999999982</v>
      </c>
      <c r="E254" s="41">
        <f t="shared" si="55"/>
        <v>1.8</v>
      </c>
      <c r="F254" s="40">
        <f t="shared" si="56"/>
        <v>1.2500000000000004</v>
      </c>
      <c r="G254" s="40">
        <f t="shared" si="57"/>
        <v>1.932367149758454E-2</v>
      </c>
      <c r="H254" s="40">
        <f t="shared" si="58"/>
        <v>2.7439024390243899E-2</v>
      </c>
      <c r="J254" s="37">
        <v>10</v>
      </c>
      <c r="K254" s="37" t="s">
        <v>117</v>
      </c>
      <c r="L254" s="41">
        <v>1.9</v>
      </c>
      <c r="M254" s="41">
        <v>3.1</v>
      </c>
      <c r="N254" s="40">
        <v>0.63200000000000001</v>
      </c>
      <c r="O254" s="40">
        <v>2.1000000000000001E-2</v>
      </c>
      <c r="P254" s="40">
        <v>2.4E-2</v>
      </c>
    </row>
    <row r="255" spans="1:24" ht="14" customHeight="1" x14ac:dyDescent="0.25">
      <c r="A255" s="155"/>
      <c r="B255" s="37"/>
      <c r="C255" s="37" t="s">
        <v>118</v>
      </c>
      <c r="D255" s="41">
        <f t="shared" si="54"/>
        <v>3.7999999999999989</v>
      </c>
      <c r="E255" s="41">
        <f t="shared" si="55"/>
        <v>6.9999999999999991</v>
      </c>
      <c r="F255" s="40">
        <f t="shared" si="56"/>
        <v>0.84210526315789491</v>
      </c>
      <c r="G255" s="40">
        <f t="shared" si="57"/>
        <v>9.1787439613526561E-2</v>
      </c>
      <c r="H255" s="40">
        <f t="shared" si="58"/>
        <v>0.1067073170731707</v>
      </c>
      <c r="J255" s="37"/>
      <c r="K255" s="37" t="s">
        <v>118</v>
      </c>
      <c r="L255" s="41">
        <v>8.6999999999999993</v>
      </c>
      <c r="M255" s="41">
        <v>14.2</v>
      </c>
      <c r="N255" s="40">
        <v>0.63200000000000001</v>
      </c>
      <c r="O255" s="40">
        <v>9.4E-2</v>
      </c>
      <c r="P255" s="40">
        <v>0.109</v>
      </c>
    </row>
    <row r="256" spans="1:24" ht="14" customHeight="1" x14ac:dyDescent="0.25">
      <c r="A256" s="155"/>
      <c r="B256" s="37"/>
      <c r="C256" s="37" t="s">
        <v>119</v>
      </c>
      <c r="D256" s="41">
        <f t="shared" si="54"/>
        <v>41.399999999999991</v>
      </c>
      <c r="E256" s="41">
        <f t="shared" si="55"/>
        <v>65.600000000000009</v>
      </c>
      <c r="F256" s="40">
        <f t="shared" si="56"/>
        <v>0.58454106280193296</v>
      </c>
      <c r="G256" s="40">
        <f t="shared" si="57"/>
        <v>1</v>
      </c>
      <c r="H256" s="40">
        <f t="shared" si="58"/>
        <v>1</v>
      </c>
      <c r="J256" s="37"/>
      <c r="K256" s="37" t="s">
        <v>119</v>
      </c>
      <c r="L256" s="41">
        <v>92.6</v>
      </c>
      <c r="M256" s="41">
        <v>129.9</v>
      </c>
      <c r="N256" s="40">
        <v>0.40300000000000002</v>
      </c>
      <c r="O256" s="40">
        <v>1</v>
      </c>
      <c r="P256" s="40">
        <v>1</v>
      </c>
    </row>
    <row r="257" spans="1:16" ht="14" customHeight="1" x14ac:dyDescent="0.25">
      <c r="A257" s="154"/>
    </row>
    <row r="258" spans="1:16" ht="14" customHeight="1" x14ac:dyDescent="0.25">
      <c r="A258" s="154"/>
      <c r="B258" s="11" t="s">
        <v>120</v>
      </c>
      <c r="J258" s="11" t="s">
        <v>120</v>
      </c>
    </row>
    <row r="259" spans="1:16" s="216" customFormat="1" ht="14" customHeight="1" x14ac:dyDescent="0.25">
      <c r="A259" s="217"/>
      <c r="B259" s="37" t="s">
        <v>96</v>
      </c>
      <c r="C259" s="7" t="s">
        <v>381</v>
      </c>
      <c r="D259" s="146">
        <v>45292</v>
      </c>
      <c r="E259" s="146">
        <v>45658</v>
      </c>
      <c r="F259" s="7" t="s">
        <v>34</v>
      </c>
      <c r="G259" s="7" t="s">
        <v>97</v>
      </c>
      <c r="H259" s="7" t="s">
        <v>681</v>
      </c>
      <c r="J259" s="37" t="s">
        <v>96</v>
      </c>
      <c r="K259" s="7" t="s">
        <v>381</v>
      </c>
      <c r="L259" s="146">
        <v>45292</v>
      </c>
      <c r="M259" s="146">
        <v>45658</v>
      </c>
      <c r="N259" s="7" t="s">
        <v>34</v>
      </c>
      <c r="O259" s="7" t="s">
        <v>97</v>
      </c>
      <c r="P259" s="7" t="s">
        <v>681</v>
      </c>
    </row>
    <row r="260" spans="1:16" ht="14" customHeight="1" x14ac:dyDescent="0.25">
      <c r="A260" s="155"/>
      <c r="B260" s="37">
        <v>1</v>
      </c>
      <c r="C260" s="37" t="s">
        <v>109</v>
      </c>
      <c r="D260" s="41">
        <v>20</v>
      </c>
      <c r="E260" s="41">
        <v>25</v>
      </c>
      <c r="F260" s="40">
        <v>0.25</v>
      </c>
      <c r="G260" s="40">
        <v>0.39100000000000001</v>
      </c>
      <c r="H260" s="40">
        <v>0.38900000000000001</v>
      </c>
      <c r="J260" s="37">
        <v>1</v>
      </c>
      <c r="K260" s="37" t="s">
        <v>109</v>
      </c>
      <c r="L260" s="41">
        <v>20</v>
      </c>
      <c r="M260" s="41">
        <v>25</v>
      </c>
      <c r="N260" s="40">
        <v>0.25</v>
      </c>
      <c r="O260" s="40">
        <v>0.39100000000000001</v>
      </c>
      <c r="P260" s="40">
        <v>0.38900000000000001</v>
      </c>
    </row>
    <row r="261" spans="1:16" ht="14" customHeight="1" x14ac:dyDescent="0.25">
      <c r="A261" s="155"/>
      <c r="B261" s="37">
        <v>2</v>
      </c>
      <c r="C261" s="37" t="s">
        <v>110</v>
      </c>
      <c r="D261" s="41">
        <v>7.6</v>
      </c>
      <c r="E261" s="41">
        <v>10.9</v>
      </c>
      <c r="F261" s="40">
        <v>0.42599999999999999</v>
      </c>
      <c r="G261" s="40">
        <v>0.14899999999999999</v>
      </c>
      <c r="H261" s="40">
        <v>0.16900000000000001</v>
      </c>
      <c r="J261" s="37">
        <v>2</v>
      </c>
      <c r="K261" s="37" t="s">
        <v>110</v>
      </c>
      <c r="L261" s="41">
        <v>7.6</v>
      </c>
      <c r="M261" s="41">
        <v>10.9</v>
      </c>
      <c r="N261" s="40">
        <v>0.42599999999999999</v>
      </c>
      <c r="O261" s="40">
        <v>0.14899999999999999</v>
      </c>
      <c r="P261" s="40">
        <v>0.16900000000000001</v>
      </c>
    </row>
    <row r="262" spans="1:16" ht="14" customHeight="1" x14ac:dyDescent="0.25">
      <c r="A262" s="155"/>
      <c r="B262" s="37">
        <v>3</v>
      </c>
      <c r="C262" s="37" t="s">
        <v>111</v>
      </c>
      <c r="D262" s="41">
        <v>5.5</v>
      </c>
      <c r="E262" s="41">
        <v>6</v>
      </c>
      <c r="F262" s="40">
        <v>0.10100000000000001</v>
      </c>
      <c r="G262" s="40">
        <v>0.107</v>
      </c>
      <c r="H262" s="40">
        <v>9.2999999999999999E-2</v>
      </c>
      <c r="J262" s="37">
        <v>3</v>
      </c>
      <c r="K262" s="37" t="s">
        <v>111</v>
      </c>
      <c r="L262" s="41">
        <v>5.5</v>
      </c>
      <c r="M262" s="41">
        <v>6</v>
      </c>
      <c r="N262" s="40">
        <v>0.10100000000000001</v>
      </c>
      <c r="O262" s="40">
        <v>0.107</v>
      </c>
      <c r="P262" s="40">
        <v>9.2999999999999999E-2</v>
      </c>
    </row>
    <row r="263" spans="1:16" ht="14" customHeight="1" x14ac:dyDescent="0.25">
      <c r="A263" s="155"/>
      <c r="B263" s="37">
        <v>4</v>
      </c>
      <c r="C263" s="37" t="s">
        <v>36</v>
      </c>
      <c r="D263" s="41">
        <v>2.1</v>
      </c>
      <c r="E263" s="41">
        <v>2.9</v>
      </c>
      <c r="F263" s="40">
        <v>0.35</v>
      </c>
      <c r="G263" s="40">
        <v>4.2000000000000003E-2</v>
      </c>
      <c r="H263" s="40">
        <v>4.4999999999999998E-2</v>
      </c>
      <c r="J263" s="37">
        <v>4</v>
      </c>
      <c r="K263" s="37" t="s">
        <v>36</v>
      </c>
      <c r="L263" s="41">
        <v>2.1</v>
      </c>
      <c r="M263" s="41">
        <v>2.9</v>
      </c>
      <c r="N263" s="40">
        <v>0.35</v>
      </c>
      <c r="O263" s="40">
        <v>4.2000000000000003E-2</v>
      </c>
      <c r="P263" s="40">
        <v>4.4999999999999998E-2</v>
      </c>
    </row>
    <row r="264" spans="1:16" ht="14" customHeight="1" x14ac:dyDescent="0.25">
      <c r="A264" s="155"/>
      <c r="B264" s="37">
        <v>5</v>
      </c>
      <c r="C264" s="37" t="s">
        <v>112</v>
      </c>
      <c r="D264" s="41">
        <v>2.5</v>
      </c>
      <c r="E264" s="41">
        <v>2.5</v>
      </c>
      <c r="F264" s="40">
        <v>3.0000000000000001E-3</v>
      </c>
      <c r="G264" s="40">
        <v>4.8000000000000001E-2</v>
      </c>
      <c r="H264" s="40">
        <v>3.7999999999999999E-2</v>
      </c>
      <c r="J264" s="37">
        <v>5</v>
      </c>
      <c r="K264" s="37" t="s">
        <v>112</v>
      </c>
      <c r="L264" s="41">
        <v>2.5</v>
      </c>
      <c r="M264" s="41">
        <v>2.5</v>
      </c>
      <c r="N264" s="40">
        <v>3.0000000000000001E-3</v>
      </c>
      <c r="O264" s="40">
        <v>4.8000000000000001E-2</v>
      </c>
      <c r="P264" s="40">
        <v>3.7999999999999999E-2</v>
      </c>
    </row>
    <row r="265" spans="1:16" ht="14" customHeight="1" x14ac:dyDescent="0.25">
      <c r="A265" s="155"/>
      <c r="B265" s="37">
        <v>6</v>
      </c>
      <c r="C265" s="37" t="s">
        <v>113</v>
      </c>
      <c r="D265" s="41">
        <v>2.1</v>
      </c>
      <c r="E265" s="41">
        <v>2.4</v>
      </c>
      <c r="F265" s="40">
        <v>0.16900000000000001</v>
      </c>
      <c r="G265" s="40">
        <v>4.1000000000000002E-2</v>
      </c>
      <c r="H265" s="40">
        <v>3.7999999999999999E-2</v>
      </c>
      <c r="J265" s="37">
        <v>6</v>
      </c>
      <c r="K265" s="37" t="s">
        <v>113</v>
      </c>
      <c r="L265" s="41">
        <v>2.1</v>
      </c>
      <c r="M265" s="41">
        <v>2.4</v>
      </c>
      <c r="N265" s="40">
        <v>0.16900000000000001</v>
      </c>
      <c r="O265" s="40">
        <v>4.1000000000000002E-2</v>
      </c>
      <c r="P265" s="40">
        <v>3.7999999999999999E-2</v>
      </c>
    </row>
    <row r="266" spans="1:16" ht="14" customHeight="1" x14ac:dyDescent="0.25">
      <c r="A266" s="155"/>
      <c r="B266" s="37">
        <v>7</v>
      </c>
      <c r="C266" s="37" t="s">
        <v>114</v>
      </c>
      <c r="D266" s="41">
        <v>1.6</v>
      </c>
      <c r="E266" s="41">
        <v>2.2000000000000002</v>
      </c>
      <c r="F266" s="40">
        <v>0.35</v>
      </c>
      <c r="G266" s="40">
        <v>3.2000000000000001E-2</v>
      </c>
      <c r="H266" s="40">
        <v>3.4000000000000002E-2</v>
      </c>
      <c r="J266" s="37">
        <v>7</v>
      </c>
      <c r="K266" s="37" t="s">
        <v>114</v>
      </c>
      <c r="L266" s="41">
        <v>1.6</v>
      </c>
      <c r="M266" s="41">
        <v>2.2000000000000002</v>
      </c>
      <c r="N266" s="40">
        <v>0.35</v>
      </c>
      <c r="O266" s="40">
        <v>3.2000000000000001E-2</v>
      </c>
      <c r="P266" s="40">
        <v>3.4000000000000002E-2</v>
      </c>
    </row>
    <row r="267" spans="1:16" ht="14" customHeight="1" x14ac:dyDescent="0.25">
      <c r="A267" s="155"/>
      <c r="B267" s="37">
        <v>8</v>
      </c>
      <c r="C267" s="37" t="s">
        <v>115</v>
      </c>
      <c r="D267" s="41">
        <v>2.6</v>
      </c>
      <c r="E267" s="41">
        <v>2</v>
      </c>
      <c r="F267" s="40">
        <v>-0.23699999999999999</v>
      </c>
      <c r="G267" s="40">
        <v>0.05</v>
      </c>
      <c r="H267" s="40">
        <v>3.1E-2</v>
      </c>
      <c r="J267" s="37">
        <v>8</v>
      </c>
      <c r="K267" s="37" t="s">
        <v>115</v>
      </c>
      <c r="L267" s="41">
        <v>2.6</v>
      </c>
      <c r="M267" s="41">
        <v>2</v>
      </c>
      <c r="N267" s="40">
        <v>-0.23699999999999999</v>
      </c>
      <c r="O267" s="40">
        <v>0.05</v>
      </c>
      <c r="P267" s="40">
        <v>3.1E-2</v>
      </c>
    </row>
    <row r="268" spans="1:16" ht="14" customHeight="1" x14ac:dyDescent="0.25">
      <c r="A268" s="155"/>
      <c r="B268" s="37">
        <v>9</v>
      </c>
      <c r="C268" s="37" t="s">
        <v>116</v>
      </c>
      <c r="D268" s="41">
        <v>1.2</v>
      </c>
      <c r="E268" s="41">
        <v>1.9</v>
      </c>
      <c r="F268" s="40">
        <v>0.57299999999999995</v>
      </c>
      <c r="G268" s="40">
        <v>2.4E-2</v>
      </c>
      <c r="H268" s="40">
        <v>0.03</v>
      </c>
      <c r="J268" s="37">
        <v>9</v>
      </c>
      <c r="K268" s="37" t="s">
        <v>116</v>
      </c>
      <c r="L268" s="41">
        <v>1.2</v>
      </c>
      <c r="M268" s="41">
        <v>1.9</v>
      </c>
      <c r="N268" s="40">
        <v>0.57299999999999995</v>
      </c>
      <c r="O268" s="40">
        <v>2.4E-2</v>
      </c>
      <c r="P268" s="40">
        <v>0.03</v>
      </c>
    </row>
    <row r="269" spans="1:16" ht="14" customHeight="1" x14ac:dyDescent="0.25">
      <c r="A269" s="155"/>
      <c r="B269" s="37">
        <v>10</v>
      </c>
      <c r="C269" s="37" t="s">
        <v>117</v>
      </c>
      <c r="D269" s="41">
        <v>1.1000000000000001</v>
      </c>
      <c r="E269" s="41">
        <v>1.3</v>
      </c>
      <c r="F269" s="40">
        <v>0.23200000000000001</v>
      </c>
      <c r="G269" s="40">
        <v>2.1000000000000001E-2</v>
      </c>
      <c r="H269" s="40">
        <v>2.1000000000000001E-2</v>
      </c>
      <c r="J269" s="37">
        <v>10</v>
      </c>
      <c r="K269" s="37" t="s">
        <v>117</v>
      </c>
      <c r="L269" s="41">
        <v>1.1000000000000001</v>
      </c>
      <c r="M269" s="41">
        <v>1.3</v>
      </c>
      <c r="N269" s="40">
        <v>0.23200000000000001</v>
      </c>
      <c r="O269" s="40">
        <v>2.1000000000000001E-2</v>
      </c>
      <c r="P269" s="40">
        <v>2.1000000000000001E-2</v>
      </c>
    </row>
    <row r="270" spans="1:16" ht="14" customHeight="1" x14ac:dyDescent="0.25">
      <c r="A270" s="155"/>
      <c r="B270" s="37"/>
      <c r="C270" s="37" t="s">
        <v>118</v>
      </c>
      <c r="D270" s="41">
        <v>4.9000000000000004</v>
      </c>
      <c r="E270" s="41">
        <v>7.2</v>
      </c>
      <c r="F270" s="40">
        <v>0.48</v>
      </c>
      <c r="G270" s="40">
        <v>9.5000000000000001E-2</v>
      </c>
      <c r="H270" s="40">
        <v>0.112</v>
      </c>
      <c r="J270" s="37"/>
      <c r="K270" s="37" t="s">
        <v>118</v>
      </c>
      <c r="L270" s="41">
        <v>4.9000000000000004</v>
      </c>
      <c r="M270" s="41">
        <v>7.2</v>
      </c>
      <c r="N270" s="40">
        <v>0.48</v>
      </c>
      <c r="O270" s="40">
        <v>9.5000000000000001E-2</v>
      </c>
      <c r="P270" s="40">
        <v>0.112</v>
      </c>
    </row>
    <row r="271" spans="1:16" ht="14" customHeight="1" x14ac:dyDescent="0.25">
      <c r="A271" s="155"/>
      <c r="B271" s="37"/>
      <c r="C271" s="37" t="s">
        <v>119</v>
      </c>
      <c r="D271" s="41">
        <v>51.2</v>
      </c>
      <c r="E271" s="41">
        <v>64.3</v>
      </c>
      <c r="F271" s="40">
        <v>0.25700000000000001</v>
      </c>
      <c r="G271" s="40">
        <v>1</v>
      </c>
      <c r="H271" s="40">
        <v>1</v>
      </c>
      <c r="J271" s="37"/>
      <c r="K271" s="37" t="s">
        <v>119</v>
      </c>
      <c r="L271" s="41">
        <v>51.2</v>
      </c>
      <c r="M271" s="41">
        <v>64.3</v>
      </c>
      <c r="N271" s="40">
        <v>0.25700000000000001</v>
      </c>
      <c r="O271" s="40">
        <v>1</v>
      </c>
      <c r="P271" s="40">
        <v>1</v>
      </c>
    </row>
    <row r="272" spans="1:16" ht="14" customHeight="1" x14ac:dyDescent="0.25">
      <c r="A272" s="155"/>
      <c r="B272" s="11"/>
      <c r="C272" s="11"/>
      <c r="D272" s="18"/>
      <c r="E272" s="18"/>
      <c r="F272" s="17"/>
      <c r="G272" s="17"/>
      <c r="H272" s="17"/>
      <c r="J272" s="11"/>
      <c r="K272" s="11"/>
      <c r="L272" s="18"/>
      <c r="M272" s="18"/>
      <c r="N272" s="17"/>
      <c r="O272" s="17"/>
      <c r="P272" s="17"/>
    </row>
    <row r="273" spans="1:19" ht="14" customHeight="1" x14ac:dyDescent="0.25">
      <c r="A273" s="154"/>
      <c r="B273" s="11" t="s">
        <v>121</v>
      </c>
      <c r="C273" s="11"/>
      <c r="D273" s="18"/>
      <c r="E273" s="18"/>
      <c r="F273" s="17"/>
      <c r="G273" s="17"/>
      <c r="H273" s="17"/>
      <c r="J273" s="10" t="s">
        <v>122</v>
      </c>
    </row>
    <row r="274" spans="1:19" ht="14" customHeight="1" x14ac:dyDescent="0.25">
      <c r="A274" s="154"/>
      <c r="B274" s="11" t="s">
        <v>96</v>
      </c>
      <c r="C274" s="15" t="s">
        <v>123</v>
      </c>
      <c r="D274" s="19">
        <v>45627</v>
      </c>
      <c r="E274" s="19">
        <v>45261</v>
      </c>
      <c r="F274" s="15" t="s">
        <v>34</v>
      </c>
      <c r="G274" s="15" t="s">
        <v>97</v>
      </c>
      <c r="H274" s="15" t="s">
        <v>124</v>
      </c>
      <c r="J274" s="10" t="s">
        <v>96</v>
      </c>
      <c r="K274" s="11" t="s">
        <v>692</v>
      </c>
      <c r="L274" s="11" t="s">
        <v>125</v>
      </c>
      <c r="M274" s="11" t="s">
        <v>126</v>
      </c>
      <c r="N274" s="15" t="s">
        <v>34</v>
      </c>
      <c r="O274" s="15" t="s">
        <v>97</v>
      </c>
      <c r="P274" s="15" t="s">
        <v>124</v>
      </c>
      <c r="Q274" s="11"/>
      <c r="R274" s="11"/>
      <c r="S274" s="11"/>
    </row>
    <row r="275" spans="1:19" ht="14" customHeight="1" x14ac:dyDescent="0.25">
      <c r="A275" s="154"/>
      <c r="B275" s="20">
        <v>1</v>
      </c>
      <c r="C275" s="21" t="s">
        <v>68</v>
      </c>
      <c r="D275" s="18">
        <v>50</v>
      </c>
      <c r="E275" s="18">
        <v>32.700000000000003</v>
      </c>
      <c r="F275" s="17">
        <v>0.52900000000000003</v>
      </c>
      <c r="G275" s="17">
        <v>0.379</v>
      </c>
      <c r="H275" s="17">
        <v>0.36599999999999999</v>
      </c>
      <c r="J275" s="11">
        <v>1</v>
      </c>
      <c r="K275" s="15" t="s">
        <v>98</v>
      </c>
      <c r="L275" s="18">
        <v>339.3</v>
      </c>
      <c r="M275" s="18">
        <v>257.7</v>
      </c>
      <c r="N275" s="17">
        <v>0.317</v>
      </c>
      <c r="O275" s="17">
        <v>0.379</v>
      </c>
      <c r="P275" s="17">
        <v>0.36599999999999999</v>
      </c>
      <c r="Q275" s="17"/>
      <c r="R275" s="18"/>
      <c r="S275" s="18"/>
    </row>
    <row r="276" spans="1:19" ht="14" customHeight="1" x14ac:dyDescent="0.25">
      <c r="A276" s="154"/>
      <c r="B276" s="20">
        <v>2</v>
      </c>
      <c r="C276" s="21" t="s">
        <v>69</v>
      </c>
      <c r="D276" s="18">
        <v>19.3</v>
      </c>
      <c r="E276" s="18">
        <v>12.9</v>
      </c>
      <c r="F276" s="17">
        <v>0.496</v>
      </c>
      <c r="G276" s="17">
        <v>0.17199999999999999</v>
      </c>
      <c r="H276" s="17">
        <v>0.159</v>
      </c>
      <c r="J276" s="20">
        <v>2</v>
      </c>
      <c r="K276" s="21" t="s">
        <v>69</v>
      </c>
      <c r="L276" s="18">
        <v>153.69999999999999</v>
      </c>
      <c r="M276" s="18">
        <v>111.8</v>
      </c>
      <c r="N276" s="17">
        <v>0.375</v>
      </c>
      <c r="O276" s="17">
        <v>0.17199999999999999</v>
      </c>
      <c r="P276" s="17">
        <v>0.159</v>
      </c>
      <c r="Q276" s="17"/>
      <c r="R276" s="18"/>
      <c r="S276" s="18"/>
    </row>
    <row r="277" spans="1:19" ht="14" customHeight="1" x14ac:dyDescent="0.25">
      <c r="A277" s="154"/>
      <c r="B277" s="20">
        <v>3</v>
      </c>
      <c r="C277" s="21" t="s">
        <v>127</v>
      </c>
      <c r="D277" s="18">
        <v>4.9000000000000004</v>
      </c>
      <c r="E277" s="18">
        <v>9.6</v>
      </c>
      <c r="F277" s="17">
        <v>-0.48899999999999999</v>
      </c>
      <c r="G277" s="17">
        <v>0.108</v>
      </c>
      <c r="H277" s="17">
        <v>0.13500000000000001</v>
      </c>
      <c r="J277" s="20">
        <v>3</v>
      </c>
      <c r="K277" s="21" t="s">
        <v>127</v>
      </c>
      <c r="L277" s="22">
        <v>96.3</v>
      </c>
      <c r="M277" s="18">
        <v>95.1</v>
      </c>
      <c r="N277" s="17">
        <v>1.2999999999999999E-2</v>
      </c>
      <c r="O277" s="17">
        <v>0.108</v>
      </c>
      <c r="P277" s="17">
        <v>0.13500000000000001</v>
      </c>
      <c r="Q277" s="17"/>
      <c r="R277" s="18"/>
      <c r="S277" s="22"/>
    </row>
    <row r="278" spans="1:19" ht="14" customHeight="1" x14ac:dyDescent="0.25">
      <c r="A278" s="154"/>
      <c r="B278" s="20">
        <v>4</v>
      </c>
      <c r="C278" s="21" t="s">
        <v>71</v>
      </c>
      <c r="D278" s="18">
        <v>3.1</v>
      </c>
      <c r="E278" s="18">
        <v>4.0999999999999996</v>
      </c>
      <c r="F278" s="17">
        <v>-0.24399999999999999</v>
      </c>
      <c r="G278" s="17">
        <v>4.3999999999999997E-2</v>
      </c>
      <c r="H278" s="17">
        <v>4.8000000000000001E-2</v>
      </c>
      <c r="J278" s="20">
        <v>4</v>
      </c>
      <c r="K278" s="21" t="s">
        <v>71</v>
      </c>
      <c r="L278" s="18">
        <v>39.4</v>
      </c>
      <c r="M278" s="18">
        <v>33.799999999999997</v>
      </c>
      <c r="N278" s="17">
        <v>0.16600000000000001</v>
      </c>
      <c r="O278" s="17">
        <v>4.3999999999999997E-2</v>
      </c>
      <c r="P278" s="17">
        <v>4.8000000000000001E-2</v>
      </c>
      <c r="Q278" s="17"/>
      <c r="R278" s="18"/>
      <c r="S278" s="18"/>
    </row>
    <row r="279" spans="1:19" ht="14" customHeight="1" x14ac:dyDescent="0.25">
      <c r="A279" s="154"/>
      <c r="B279" s="20">
        <v>5</v>
      </c>
      <c r="C279" s="21" t="s">
        <v>25</v>
      </c>
      <c r="D279" s="18">
        <v>3.7</v>
      </c>
      <c r="E279" s="18">
        <v>3.1</v>
      </c>
      <c r="F279" s="17">
        <v>0.19400000000000001</v>
      </c>
      <c r="G279" s="17">
        <v>4.3999999999999997E-2</v>
      </c>
      <c r="H279" s="17">
        <v>4.9000000000000002E-2</v>
      </c>
      <c r="J279" s="20">
        <v>5</v>
      </c>
      <c r="K279" s="21" t="s">
        <v>36</v>
      </c>
      <c r="L279" s="18">
        <v>39</v>
      </c>
      <c r="M279" s="18">
        <v>34.700000000000003</v>
      </c>
      <c r="N279" s="17">
        <v>0.124</v>
      </c>
      <c r="O279" s="17">
        <v>4.3999999999999997E-2</v>
      </c>
      <c r="P279" s="17">
        <v>4.9000000000000002E-2</v>
      </c>
      <c r="Q279" s="17"/>
      <c r="R279" s="18"/>
      <c r="S279" s="18"/>
    </row>
    <row r="280" spans="1:19" ht="14" customHeight="1" x14ac:dyDescent="0.25">
      <c r="A280" s="154"/>
      <c r="B280" s="20">
        <v>6</v>
      </c>
      <c r="C280" s="21" t="s">
        <v>72</v>
      </c>
      <c r="D280" s="18">
        <v>3.9</v>
      </c>
      <c r="E280" s="18">
        <v>3.6</v>
      </c>
      <c r="F280" s="17">
        <v>8.3000000000000004E-2</v>
      </c>
      <c r="G280" s="17">
        <v>3.9E-2</v>
      </c>
      <c r="H280" s="17">
        <v>6.0999999999999999E-2</v>
      </c>
      <c r="J280" s="20">
        <v>6</v>
      </c>
      <c r="K280" s="21" t="s">
        <v>72</v>
      </c>
      <c r="L280" s="18">
        <v>35.1</v>
      </c>
      <c r="M280" s="18">
        <v>42.8</v>
      </c>
      <c r="N280" s="17">
        <v>-0.18</v>
      </c>
      <c r="O280" s="17">
        <v>3.9E-2</v>
      </c>
      <c r="P280" s="17">
        <v>6.0999999999999999E-2</v>
      </c>
      <c r="Q280" s="17"/>
      <c r="R280" s="18"/>
      <c r="S280" s="18"/>
    </row>
    <row r="281" spans="1:19" ht="14" customHeight="1" x14ac:dyDescent="0.25">
      <c r="A281" s="154"/>
      <c r="B281" s="20">
        <v>7</v>
      </c>
      <c r="C281" s="21" t="s">
        <v>128</v>
      </c>
      <c r="D281" s="18">
        <v>0.7</v>
      </c>
      <c r="E281" s="18">
        <v>4.2</v>
      </c>
      <c r="F281" s="17">
        <v>-0.83299999999999996</v>
      </c>
      <c r="G281" s="17">
        <v>3.3000000000000002E-2</v>
      </c>
      <c r="H281" s="17">
        <v>4.7E-2</v>
      </c>
      <c r="J281" s="20">
        <v>7</v>
      </c>
      <c r="K281" s="21" t="s">
        <v>128</v>
      </c>
      <c r="L281" s="18">
        <v>29.6</v>
      </c>
      <c r="M281" s="18">
        <v>33.1</v>
      </c>
      <c r="N281" s="17">
        <v>-0.106</v>
      </c>
      <c r="O281" s="17">
        <v>3.3000000000000002E-2</v>
      </c>
      <c r="P281" s="17">
        <v>4.7E-2</v>
      </c>
      <c r="Q281" s="17"/>
      <c r="R281" s="18"/>
      <c r="S281" s="18"/>
    </row>
    <row r="282" spans="1:19" ht="14" customHeight="1" x14ac:dyDescent="0.25">
      <c r="A282" s="154"/>
      <c r="B282" s="20">
        <v>8</v>
      </c>
      <c r="C282" s="21" t="s">
        <v>70</v>
      </c>
      <c r="D282" s="18">
        <v>7.6</v>
      </c>
      <c r="E282" s="18">
        <v>1.8</v>
      </c>
      <c r="F282" s="17">
        <v>3.222</v>
      </c>
      <c r="G282" s="17">
        <v>3.2000000000000001E-2</v>
      </c>
      <c r="H282" s="17">
        <v>2.3E-2</v>
      </c>
      <c r="J282" s="20">
        <v>8</v>
      </c>
      <c r="K282" s="21" t="s">
        <v>70</v>
      </c>
      <c r="L282" s="18">
        <v>28.5</v>
      </c>
      <c r="M282" s="18">
        <v>16.399999999999999</v>
      </c>
      <c r="N282" s="17">
        <v>0.73799999999999999</v>
      </c>
      <c r="O282" s="17">
        <v>3.2000000000000001E-2</v>
      </c>
      <c r="P282" s="17">
        <v>2.3E-2</v>
      </c>
      <c r="Q282" s="17"/>
      <c r="R282" s="18"/>
      <c r="S282" s="18"/>
    </row>
    <row r="283" spans="1:19" ht="14" customHeight="1" x14ac:dyDescent="0.25">
      <c r="A283" s="154"/>
      <c r="B283" s="20">
        <v>9</v>
      </c>
      <c r="C283" s="21" t="s">
        <v>73</v>
      </c>
      <c r="D283" s="18">
        <v>2.2999999999999998</v>
      </c>
      <c r="E283" s="18">
        <v>1.9</v>
      </c>
      <c r="F283" s="17">
        <v>0.21099999999999999</v>
      </c>
      <c r="G283" s="17">
        <v>2.3E-2</v>
      </c>
      <c r="H283" s="17">
        <v>2.3E-2</v>
      </c>
      <c r="J283" s="20">
        <v>9</v>
      </c>
      <c r="K283" s="21" t="s">
        <v>73</v>
      </c>
      <c r="L283" s="18">
        <v>20.3</v>
      </c>
      <c r="M283" s="18">
        <v>16</v>
      </c>
      <c r="N283" s="17">
        <v>0.26900000000000002</v>
      </c>
      <c r="O283" s="17">
        <v>2.3E-2</v>
      </c>
      <c r="P283" s="17">
        <v>2.3E-2</v>
      </c>
      <c r="Q283" s="17"/>
      <c r="R283" s="18"/>
      <c r="S283" s="18"/>
    </row>
    <row r="284" spans="1:19" ht="14" customHeight="1" x14ac:dyDescent="0.25">
      <c r="A284" s="154"/>
      <c r="B284" s="20">
        <v>10</v>
      </c>
      <c r="C284" s="21" t="s">
        <v>129</v>
      </c>
      <c r="D284" s="18">
        <v>2.9</v>
      </c>
      <c r="E284" s="18">
        <v>1.2</v>
      </c>
      <c r="F284" s="17">
        <v>1.417</v>
      </c>
      <c r="G284" s="17">
        <v>2.1000000000000001E-2</v>
      </c>
      <c r="H284" s="17">
        <v>1.4999999999999999E-2</v>
      </c>
      <c r="J284" s="20">
        <v>10</v>
      </c>
      <c r="K284" s="21" t="s">
        <v>129</v>
      </c>
      <c r="L284" s="18">
        <v>18.8</v>
      </c>
      <c r="M284" s="18">
        <v>10.8</v>
      </c>
      <c r="N284" s="17">
        <v>0.74099999999999999</v>
      </c>
      <c r="O284" s="17">
        <v>2.1000000000000001E-2</v>
      </c>
      <c r="P284" s="17">
        <v>1.4999999999999999E-2</v>
      </c>
      <c r="Q284" s="17"/>
      <c r="R284" s="18"/>
      <c r="S284" s="18"/>
    </row>
    <row r="285" spans="1:19" ht="14" customHeight="1" x14ac:dyDescent="0.25">
      <c r="A285" s="154"/>
      <c r="B285" s="15"/>
      <c r="C285" s="15" t="s">
        <v>105</v>
      </c>
      <c r="D285" s="18">
        <v>10.3</v>
      </c>
      <c r="E285" s="18">
        <v>6.5</v>
      </c>
      <c r="F285" s="17">
        <v>0.58499999999999996</v>
      </c>
      <c r="G285" s="17">
        <v>0.105</v>
      </c>
      <c r="H285" s="17">
        <v>7.1999999999999995E-2</v>
      </c>
      <c r="J285" s="20"/>
      <c r="K285" s="21" t="s">
        <v>77</v>
      </c>
      <c r="L285" s="18">
        <v>94.3</v>
      </c>
      <c r="M285" s="18">
        <v>50.9</v>
      </c>
      <c r="N285" s="17">
        <v>0.85299999999999998</v>
      </c>
      <c r="O285" s="17">
        <v>0.105</v>
      </c>
      <c r="P285" s="17">
        <v>7.1999999999999995E-2</v>
      </c>
      <c r="Q285" s="17"/>
      <c r="R285" s="18"/>
      <c r="S285" s="18"/>
    </row>
    <row r="286" spans="1:19" ht="14" customHeight="1" x14ac:dyDescent="0.25">
      <c r="A286" s="154"/>
      <c r="B286" s="15" t="s">
        <v>130</v>
      </c>
      <c r="C286" s="15"/>
      <c r="D286" s="18">
        <v>108.8</v>
      </c>
      <c r="E286" s="18">
        <v>81.8</v>
      </c>
      <c r="F286" s="17">
        <v>0.33</v>
      </c>
      <c r="G286" s="17">
        <v>1</v>
      </c>
      <c r="H286" s="17">
        <v>1</v>
      </c>
      <c r="J286" s="15"/>
      <c r="K286" s="15" t="s">
        <v>106</v>
      </c>
      <c r="L286" s="15">
        <v>894.4</v>
      </c>
      <c r="M286" s="18">
        <v>703.2</v>
      </c>
      <c r="N286" s="17">
        <v>0.27200000000000002</v>
      </c>
      <c r="O286" s="17">
        <v>1</v>
      </c>
      <c r="P286" s="17">
        <v>1</v>
      </c>
      <c r="Q286" s="17"/>
      <c r="R286" s="18"/>
      <c r="S286" s="15"/>
    </row>
    <row r="287" spans="1:19" ht="14" customHeight="1" x14ac:dyDescent="0.25">
      <c r="A287" s="154"/>
    </row>
    <row r="288" spans="1:19" ht="14" customHeight="1" x14ac:dyDescent="0.25">
      <c r="A288" s="154"/>
      <c r="B288" s="11" t="s">
        <v>131</v>
      </c>
      <c r="C288" s="11"/>
      <c r="D288" s="11"/>
      <c r="E288" s="11"/>
      <c r="F288" s="11"/>
      <c r="G288" s="11"/>
      <c r="H288" s="11"/>
      <c r="J288" s="10" t="s">
        <v>132</v>
      </c>
      <c r="K288" s="11"/>
      <c r="L288" s="11"/>
      <c r="M288" s="11"/>
      <c r="N288" s="11"/>
      <c r="O288" s="11"/>
      <c r="P288" s="11"/>
    </row>
    <row r="289" spans="1:16" ht="14" customHeight="1" x14ac:dyDescent="0.25">
      <c r="A289" s="154"/>
      <c r="B289" s="11" t="s">
        <v>96</v>
      </c>
      <c r="C289" s="15" t="s">
        <v>123</v>
      </c>
      <c r="D289" s="19">
        <v>45597</v>
      </c>
      <c r="E289" s="19">
        <v>45231</v>
      </c>
      <c r="F289" s="15" t="s">
        <v>34</v>
      </c>
      <c r="G289" s="15" t="s">
        <v>97</v>
      </c>
      <c r="H289" s="15" t="s">
        <v>124</v>
      </c>
      <c r="J289" s="11" t="s">
        <v>96</v>
      </c>
      <c r="K289" s="15" t="s">
        <v>123</v>
      </c>
      <c r="L289" s="19" t="s">
        <v>133</v>
      </c>
      <c r="M289" s="19" t="s">
        <v>134</v>
      </c>
      <c r="N289" s="15" t="s">
        <v>34</v>
      </c>
      <c r="O289" s="15" t="s">
        <v>97</v>
      </c>
      <c r="P289" s="15" t="s">
        <v>124</v>
      </c>
    </row>
    <row r="290" spans="1:16" ht="14" customHeight="1" x14ac:dyDescent="0.25">
      <c r="A290" s="154"/>
      <c r="B290" s="20">
        <v>1</v>
      </c>
      <c r="C290" s="21" t="s">
        <v>68</v>
      </c>
      <c r="D290" s="18">
        <f t="shared" ref="D290:D297" si="59">L290-L308</f>
        <v>36.5</v>
      </c>
      <c r="E290" s="18">
        <v>29.6</v>
      </c>
      <c r="F290" s="17">
        <f>D290/E290-1</f>
        <v>0.23310810810810811</v>
      </c>
      <c r="G290" s="17">
        <f>D290/$D$319</f>
        <v>0.41619156214367137</v>
      </c>
      <c r="H290" s="17">
        <f>E290/$E$319</f>
        <v>0.44645550527903405</v>
      </c>
      <c r="J290" s="20">
        <v>1</v>
      </c>
      <c r="K290" s="21" t="s">
        <v>68</v>
      </c>
      <c r="L290" s="18">
        <v>289.3</v>
      </c>
      <c r="M290" s="18">
        <v>225</v>
      </c>
      <c r="N290" s="17">
        <f>L290/M290-1</f>
        <v>0.28577777777777791</v>
      </c>
      <c r="O290" s="17">
        <f>L290/$L$301</f>
        <v>0.36825356415478616</v>
      </c>
      <c r="P290" s="17">
        <f>M290/$M$301</f>
        <v>0.36208561313163823</v>
      </c>
    </row>
    <row r="291" spans="1:16" ht="14" customHeight="1" x14ac:dyDescent="0.25">
      <c r="A291" s="154"/>
      <c r="B291" s="20">
        <v>2</v>
      </c>
      <c r="C291" s="21" t="s">
        <v>69</v>
      </c>
      <c r="D291" s="18">
        <f t="shared" si="59"/>
        <v>19.100000000000009</v>
      </c>
      <c r="E291" s="18">
        <v>10.8</v>
      </c>
      <c r="F291" s="17">
        <f t="shared" ref="F291:F301" si="60">D291/E291-1</f>
        <v>0.76851851851851927</v>
      </c>
      <c r="G291" s="17">
        <f t="shared" ref="G291:G301" si="61">D291/$D$319</f>
        <v>0.217787913340935</v>
      </c>
      <c r="H291" s="17">
        <f t="shared" ref="H291:H301" si="62">E291/$E$319</f>
        <v>0.16289592760180974</v>
      </c>
      <c r="J291" s="20">
        <v>2</v>
      </c>
      <c r="K291" s="21" t="s">
        <v>69</v>
      </c>
      <c r="L291" s="18">
        <v>134.4</v>
      </c>
      <c r="M291" s="18">
        <v>98.9</v>
      </c>
      <c r="N291" s="17">
        <f t="shared" ref="N291:N301" si="63">L291/M291-1</f>
        <v>0.35894843276036403</v>
      </c>
      <c r="O291" s="17">
        <f t="shared" ref="O291:O301" si="64">L291/$L$301</f>
        <v>0.17107942973523421</v>
      </c>
      <c r="P291" s="17">
        <f t="shared" ref="P291:P301" si="65">M291/$M$301</f>
        <v>0.15915674283875123</v>
      </c>
    </row>
    <row r="292" spans="1:16" ht="14" customHeight="1" x14ac:dyDescent="0.25">
      <c r="A292" s="154"/>
      <c r="B292" s="20">
        <v>3</v>
      </c>
      <c r="C292" s="21" t="s">
        <v>127</v>
      </c>
      <c r="D292" s="18">
        <f t="shared" si="59"/>
        <v>10.200000000000003</v>
      </c>
      <c r="E292" s="18">
        <v>8.6999999999999993</v>
      </c>
      <c r="F292" s="17">
        <f t="shared" si="60"/>
        <v>0.17241379310344862</v>
      </c>
      <c r="G292" s="17">
        <f t="shared" si="61"/>
        <v>0.11630558722919039</v>
      </c>
      <c r="H292" s="17">
        <f t="shared" si="62"/>
        <v>0.13122171945701339</v>
      </c>
      <c r="J292" s="20">
        <v>3</v>
      </c>
      <c r="K292" s="21" t="s">
        <v>127</v>
      </c>
      <c r="L292" s="18">
        <v>91.4</v>
      </c>
      <c r="M292" s="22">
        <v>85.5</v>
      </c>
      <c r="N292" s="17">
        <f t="shared" si="63"/>
        <v>6.9005847953216515E-2</v>
      </c>
      <c r="O292" s="17">
        <f t="shared" si="64"/>
        <v>0.11634419551934827</v>
      </c>
      <c r="P292" s="17">
        <f t="shared" si="65"/>
        <v>0.13759253299002253</v>
      </c>
    </row>
    <row r="293" spans="1:16" ht="14" customHeight="1" x14ac:dyDescent="0.25">
      <c r="A293" s="154"/>
      <c r="B293" s="20">
        <v>4</v>
      </c>
      <c r="C293" s="21" t="s">
        <v>71</v>
      </c>
      <c r="D293" s="18">
        <f t="shared" si="59"/>
        <v>3.1999999999999957</v>
      </c>
      <c r="E293" s="18">
        <v>3.2</v>
      </c>
      <c r="F293" s="17">
        <f>D293/E295-1</f>
        <v>6.666666666666532E-2</v>
      </c>
      <c r="G293" s="17">
        <f t="shared" si="61"/>
        <v>3.6488027366020456E-2</v>
      </c>
      <c r="H293" s="17">
        <f>E295/$E$319</f>
        <v>4.5248868778280479E-2</v>
      </c>
      <c r="J293" s="20">
        <v>4</v>
      </c>
      <c r="K293" s="21" t="s">
        <v>71</v>
      </c>
      <c r="L293" s="18">
        <v>36.299999999999997</v>
      </c>
      <c r="M293" s="18">
        <v>29.7</v>
      </c>
      <c r="N293" s="17">
        <f t="shared" si="63"/>
        <v>0.2222222222222221</v>
      </c>
      <c r="O293" s="17">
        <f t="shared" si="64"/>
        <v>4.6206720977596739E-2</v>
      </c>
      <c r="P293" s="17">
        <f t="shared" si="65"/>
        <v>4.779530093337625E-2</v>
      </c>
    </row>
    <row r="294" spans="1:16" ht="14" customHeight="1" x14ac:dyDescent="0.25">
      <c r="A294" s="154"/>
      <c r="B294" s="20">
        <v>5</v>
      </c>
      <c r="C294" s="21" t="s">
        <v>25</v>
      </c>
      <c r="D294" s="18">
        <f t="shared" si="59"/>
        <v>4.1999999999999957</v>
      </c>
      <c r="E294" s="18">
        <v>3</v>
      </c>
      <c r="F294" s="17">
        <f t="shared" si="60"/>
        <v>0.39999999999999858</v>
      </c>
      <c r="G294" s="17">
        <f t="shared" si="61"/>
        <v>4.7890535917901864E-2</v>
      </c>
      <c r="H294" s="17">
        <f t="shared" si="62"/>
        <v>4.5248868778280479E-2</v>
      </c>
      <c r="J294" s="20">
        <v>5</v>
      </c>
      <c r="K294" s="21" t="s">
        <v>25</v>
      </c>
      <c r="L294" s="18">
        <v>35.299999999999997</v>
      </c>
      <c r="M294" s="18">
        <v>31.6</v>
      </c>
      <c r="N294" s="17">
        <f t="shared" si="63"/>
        <v>0.11708860759493667</v>
      </c>
      <c r="O294" s="17">
        <f t="shared" si="64"/>
        <v>4.4933808553971478E-2</v>
      </c>
      <c r="P294" s="17">
        <f t="shared" si="65"/>
        <v>5.0852912777598971E-2</v>
      </c>
    </row>
    <row r="295" spans="1:16" ht="14" customHeight="1" x14ac:dyDescent="0.25">
      <c r="A295" s="154"/>
      <c r="B295" s="20">
        <v>6</v>
      </c>
      <c r="C295" s="21" t="s">
        <v>72</v>
      </c>
      <c r="D295" s="18">
        <f t="shared" si="59"/>
        <v>2.8000000000000007</v>
      </c>
      <c r="E295" s="18">
        <v>3</v>
      </c>
      <c r="F295" s="17">
        <f>D295/E293-1</f>
        <v>-0.12499999999999978</v>
      </c>
      <c r="G295" s="17">
        <f t="shared" si="61"/>
        <v>3.1927023945267953E-2</v>
      </c>
      <c r="H295" s="17">
        <f>E293/$E$319</f>
        <v>4.8265460030165845E-2</v>
      </c>
      <c r="J295" s="20">
        <v>6</v>
      </c>
      <c r="K295" s="21" t="s">
        <v>72</v>
      </c>
      <c r="L295" s="18">
        <v>31.2</v>
      </c>
      <c r="M295" s="18">
        <v>39.200000000000003</v>
      </c>
      <c r="N295" s="17">
        <f t="shared" si="63"/>
        <v>-0.20408163265306134</v>
      </c>
      <c r="O295" s="17">
        <f t="shared" si="64"/>
        <v>3.9714867617107942E-2</v>
      </c>
      <c r="P295" s="17">
        <f t="shared" si="65"/>
        <v>6.308336015448987E-2</v>
      </c>
    </row>
    <row r="296" spans="1:16" ht="14" customHeight="1" x14ac:dyDescent="0.25">
      <c r="A296" s="154"/>
      <c r="B296" s="20">
        <v>7</v>
      </c>
      <c r="C296" s="21" t="s">
        <v>128</v>
      </c>
      <c r="D296" s="18">
        <f t="shared" si="59"/>
        <v>2.6999999999999993</v>
      </c>
      <c r="E296" s="18">
        <v>3.1</v>
      </c>
      <c r="F296" s="17">
        <f t="shared" si="60"/>
        <v>-0.12903225806451635</v>
      </c>
      <c r="G296" s="17">
        <f t="shared" si="61"/>
        <v>3.0786773090079794E-2</v>
      </c>
      <c r="H296" s="17">
        <f t="shared" si="62"/>
        <v>4.6757164404223159E-2</v>
      </c>
      <c r="J296" s="20">
        <v>7</v>
      </c>
      <c r="K296" s="21" t="s">
        <v>128</v>
      </c>
      <c r="L296" s="18">
        <v>28.9</v>
      </c>
      <c r="M296" s="18">
        <v>28.9</v>
      </c>
      <c r="N296" s="17">
        <f t="shared" si="63"/>
        <v>0</v>
      </c>
      <c r="O296" s="17">
        <f t="shared" si="64"/>
        <v>3.6787169042769852E-2</v>
      </c>
      <c r="P296" s="17">
        <f t="shared" si="65"/>
        <v>4.650788542001931E-2</v>
      </c>
    </row>
    <row r="297" spans="1:16" ht="14" customHeight="1" x14ac:dyDescent="0.25">
      <c r="A297" s="154"/>
      <c r="B297" s="20">
        <v>8</v>
      </c>
      <c r="C297" s="21" t="s">
        <v>70</v>
      </c>
      <c r="D297" s="18">
        <f t="shared" si="59"/>
        <v>3.1999999999999993</v>
      </c>
      <c r="E297" s="18">
        <v>1.9</v>
      </c>
      <c r="F297" s="17">
        <f t="shared" si="60"/>
        <v>0.68421052631578916</v>
      </c>
      <c r="G297" s="17">
        <f t="shared" si="61"/>
        <v>3.6488027366020498E-2</v>
      </c>
      <c r="H297" s="17">
        <f t="shared" si="62"/>
        <v>2.8657616892910968E-2</v>
      </c>
      <c r="J297" s="20">
        <v>8</v>
      </c>
      <c r="K297" s="21" t="s">
        <v>70</v>
      </c>
      <c r="L297" s="18">
        <v>20.9</v>
      </c>
      <c r="M297" s="18">
        <v>14.6</v>
      </c>
      <c r="N297" s="17">
        <f t="shared" si="63"/>
        <v>0.43150684931506844</v>
      </c>
      <c r="O297" s="17">
        <f t="shared" si="64"/>
        <v>2.660386965376782E-2</v>
      </c>
      <c r="P297" s="17">
        <f t="shared" si="65"/>
        <v>2.3495333118764082E-2</v>
      </c>
    </row>
    <row r="298" spans="1:16" ht="14" customHeight="1" x14ac:dyDescent="0.25">
      <c r="A298" s="154"/>
      <c r="B298" s="20">
        <v>9</v>
      </c>
      <c r="C298" s="21" t="s">
        <v>73</v>
      </c>
      <c r="D298" s="18">
        <f t="shared" ref="D298:D301" si="66">L298-L316</f>
        <v>1.6999999999999993</v>
      </c>
      <c r="E298" s="18">
        <v>1.7</v>
      </c>
      <c r="F298" s="17">
        <f t="shared" si="60"/>
        <v>0</v>
      </c>
      <c r="G298" s="17">
        <f t="shared" si="61"/>
        <v>1.9384264538198387E-2</v>
      </c>
      <c r="H298" s="17">
        <f t="shared" si="62"/>
        <v>2.5641025641025602E-2</v>
      </c>
      <c r="J298" s="20">
        <v>9</v>
      </c>
      <c r="K298" s="21" t="s">
        <v>73</v>
      </c>
      <c r="L298" s="18">
        <v>18</v>
      </c>
      <c r="M298" s="18">
        <v>14.1</v>
      </c>
      <c r="N298" s="17">
        <f t="shared" si="63"/>
        <v>0.27659574468085113</v>
      </c>
      <c r="O298" s="17">
        <f t="shared" si="64"/>
        <v>2.2912423625254582E-2</v>
      </c>
      <c r="P298" s="17">
        <f t="shared" si="65"/>
        <v>2.2690698422915996E-2</v>
      </c>
    </row>
    <row r="299" spans="1:16" ht="14" customHeight="1" x14ac:dyDescent="0.25">
      <c r="A299" s="154"/>
      <c r="B299" s="20">
        <v>10</v>
      </c>
      <c r="C299" s="21" t="s">
        <v>129</v>
      </c>
      <c r="D299" s="18">
        <f t="shared" si="66"/>
        <v>1.5999999999999996</v>
      </c>
      <c r="E299" s="18">
        <v>1.2</v>
      </c>
      <c r="F299" s="17">
        <f t="shared" si="60"/>
        <v>0.33333333333333304</v>
      </c>
      <c r="G299" s="17">
        <f t="shared" si="61"/>
        <v>1.8244013683010249E-2</v>
      </c>
      <c r="H299" s="17">
        <f t="shared" si="62"/>
        <v>1.8099547511312191E-2</v>
      </c>
      <c r="J299" s="20">
        <v>10</v>
      </c>
      <c r="K299" s="21" t="s">
        <v>129</v>
      </c>
      <c r="L299" s="18">
        <v>15.9</v>
      </c>
      <c r="M299" s="18">
        <v>9.6</v>
      </c>
      <c r="N299" s="17">
        <f t="shared" si="63"/>
        <v>0.65625</v>
      </c>
      <c r="O299" s="17">
        <f t="shared" si="64"/>
        <v>2.0239307535641547E-2</v>
      </c>
      <c r="P299" s="17">
        <f t="shared" si="65"/>
        <v>1.5448986160283231E-2</v>
      </c>
    </row>
    <row r="300" spans="1:16" ht="14" customHeight="1" x14ac:dyDescent="0.25">
      <c r="A300" s="154"/>
      <c r="B300" s="15"/>
      <c r="C300" s="15" t="s">
        <v>105</v>
      </c>
      <c r="D300" s="18">
        <f t="shared" si="66"/>
        <v>13.799999999999997</v>
      </c>
      <c r="E300" s="18">
        <v>6</v>
      </c>
      <c r="F300" s="17">
        <f t="shared" si="60"/>
        <v>1.2999999999999994</v>
      </c>
      <c r="G300" s="17">
        <f t="shared" si="61"/>
        <v>0.1573546180159634</v>
      </c>
      <c r="H300" s="17">
        <f t="shared" si="62"/>
        <v>9.0497737556560959E-2</v>
      </c>
      <c r="J300" s="15"/>
      <c r="K300" s="15" t="s">
        <v>105</v>
      </c>
      <c r="L300" s="18">
        <v>84</v>
      </c>
      <c r="M300" s="18">
        <v>44.4</v>
      </c>
      <c r="N300" s="17">
        <f t="shared" si="63"/>
        <v>0.89189189189189189</v>
      </c>
      <c r="O300" s="17">
        <f t="shared" si="64"/>
        <v>0.10692464358452138</v>
      </c>
      <c r="P300" s="17">
        <f t="shared" si="65"/>
        <v>7.1451560991309948E-2</v>
      </c>
    </row>
    <row r="301" spans="1:16" ht="14" customHeight="1" x14ac:dyDescent="0.25">
      <c r="A301" s="154"/>
      <c r="B301" s="15" t="s">
        <v>130</v>
      </c>
      <c r="C301" s="15"/>
      <c r="D301" s="18">
        <f t="shared" si="66"/>
        <v>98.899999999999977</v>
      </c>
      <c r="E301" s="18">
        <v>72.199999999999903</v>
      </c>
      <c r="F301" s="17">
        <f t="shared" si="60"/>
        <v>0.36980609418282695</v>
      </c>
      <c r="G301" s="17">
        <f t="shared" si="61"/>
        <v>1.127708095781071</v>
      </c>
      <c r="H301" s="17">
        <f t="shared" si="62"/>
        <v>1.0889894419306154</v>
      </c>
      <c r="J301" s="15" t="s">
        <v>130</v>
      </c>
      <c r="K301" s="15"/>
      <c r="L301" s="18">
        <v>785.6</v>
      </c>
      <c r="M301" s="15">
        <v>621.4</v>
      </c>
      <c r="N301" s="17">
        <f t="shared" si="63"/>
        <v>0.26424203411651126</v>
      </c>
      <c r="O301" s="17">
        <f t="shared" si="64"/>
        <v>1</v>
      </c>
      <c r="P301" s="17">
        <f t="shared" si="65"/>
        <v>1</v>
      </c>
    </row>
    <row r="302" spans="1:16" ht="14" customHeight="1" x14ac:dyDescent="0.25">
      <c r="A302" s="154"/>
    </row>
    <row r="303" spans="1:16" ht="14" customHeight="1" x14ac:dyDescent="0.25">
      <c r="A303" s="154"/>
    </row>
    <row r="304" spans="1:16" ht="14" customHeight="1" x14ac:dyDescent="0.25">
      <c r="A304" s="154"/>
    </row>
    <row r="305" spans="1:16" ht="14" customHeight="1" x14ac:dyDescent="0.25">
      <c r="A305" s="154"/>
    </row>
    <row r="306" spans="1:16" ht="14" customHeight="1" x14ac:dyDescent="0.25">
      <c r="A306" s="154"/>
      <c r="B306" s="11" t="s">
        <v>135</v>
      </c>
      <c r="C306" s="11"/>
      <c r="D306" s="11"/>
      <c r="E306" s="11"/>
      <c r="F306" s="11"/>
      <c r="G306" s="11"/>
      <c r="H306" s="11"/>
      <c r="J306" s="10" t="s">
        <v>136</v>
      </c>
      <c r="K306" s="11"/>
      <c r="L306" s="11"/>
      <c r="M306" s="11"/>
      <c r="N306" s="11"/>
      <c r="O306" s="11"/>
      <c r="P306" s="11"/>
    </row>
    <row r="307" spans="1:16" ht="14" customHeight="1" x14ac:dyDescent="0.25">
      <c r="A307" s="154"/>
      <c r="B307" s="11" t="s">
        <v>96</v>
      </c>
      <c r="C307" s="15" t="s">
        <v>123</v>
      </c>
      <c r="D307" s="19">
        <v>45566</v>
      </c>
      <c r="E307" s="19">
        <v>45200</v>
      </c>
      <c r="F307" s="15" t="s">
        <v>34</v>
      </c>
      <c r="G307" s="15" t="s">
        <v>97</v>
      </c>
      <c r="H307" s="15" t="s">
        <v>124</v>
      </c>
      <c r="J307" s="11" t="s">
        <v>96</v>
      </c>
      <c r="K307" s="15" t="s">
        <v>123</v>
      </c>
      <c r="L307" s="19" t="s">
        <v>137</v>
      </c>
      <c r="M307" s="19" t="s">
        <v>138</v>
      </c>
      <c r="N307" s="15" t="s">
        <v>34</v>
      </c>
      <c r="O307" s="15" t="s">
        <v>97</v>
      </c>
      <c r="P307" s="15" t="s">
        <v>124</v>
      </c>
    </row>
    <row r="308" spans="1:16" ht="14" customHeight="1" x14ac:dyDescent="0.25">
      <c r="A308" s="154"/>
      <c r="B308" s="20">
        <v>1</v>
      </c>
      <c r="C308" s="21" t="s">
        <v>68</v>
      </c>
      <c r="D308" s="18">
        <f t="shared" ref="D308:D315" si="67">L308-L326</f>
        <v>33.200000000000017</v>
      </c>
      <c r="E308" s="18">
        <v>24.9</v>
      </c>
      <c r="F308" s="17">
        <f>D308/E308-1</f>
        <v>0.33333333333333415</v>
      </c>
      <c r="G308" s="17">
        <f>D308/$D$319</f>
        <v>0.37856328392246297</v>
      </c>
      <c r="H308" s="17">
        <f>E308/$E$319</f>
        <v>0.37556561085972795</v>
      </c>
      <c r="J308" s="20">
        <v>1</v>
      </c>
      <c r="K308" s="21" t="s">
        <v>68</v>
      </c>
      <c r="L308" s="18">
        <v>252.8</v>
      </c>
      <c r="M308" s="18">
        <v>197</v>
      </c>
      <c r="N308" s="17">
        <f>L308/M308-1</f>
        <v>0.28324873096446712</v>
      </c>
      <c r="O308" s="17">
        <f>L308/$L$319</f>
        <v>0.36813746905490025</v>
      </c>
      <c r="P308" s="17">
        <f>M308/$M$319</f>
        <v>0.35857298871496179</v>
      </c>
    </row>
    <row r="309" spans="1:16" ht="14" customHeight="1" x14ac:dyDescent="0.25">
      <c r="A309" s="154"/>
      <c r="B309" s="20">
        <v>2</v>
      </c>
      <c r="C309" s="21" t="s">
        <v>69</v>
      </c>
      <c r="D309" s="18">
        <f t="shared" si="67"/>
        <v>16.799999999999997</v>
      </c>
      <c r="E309" s="18">
        <v>10.9</v>
      </c>
      <c r="F309" s="17">
        <f t="shared" ref="F309:F319" si="68">D309/E309-1</f>
        <v>0.54128440366972441</v>
      </c>
      <c r="G309" s="17">
        <f t="shared" ref="G309:G319" si="69">D309/$D$319</f>
        <v>0.19156214367160762</v>
      </c>
      <c r="H309" s="17">
        <f t="shared" ref="H309:H319" si="70">E309/$E$319</f>
        <v>0.16440422322775242</v>
      </c>
      <c r="J309" s="20">
        <v>2</v>
      </c>
      <c r="K309" s="21" t="s">
        <v>69</v>
      </c>
      <c r="L309" s="18">
        <v>115.3</v>
      </c>
      <c r="M309" s="18">
        <v>87.8</v>
      </c>
      <c r="N309" s="17">
        <f t="shared" ref="N309:N319" si="71">L309/M309-1</f>
        <v>0.31321184510250566</v>
      </c>
      <c r="O309" s="17">
        <f t="shared" ref="O309:O319" si="72">L309/$L$319</f>
        <v>0.16790447065676423</v>
      </c>
      <c r="P309" s="17">
        <f t="shared" ref="P309:P319" si="73">M309/$M$319</f>
        <v>0.15981070258463778</v>
      </c>
    </row>
    <row r="310" spans="1:16" ht="14" customHeight="1" x14ac:dyDescent="0.25">
      <c r="A310" s="154"/>
      <c r="B310" s="20">
        <v>3</v>
      </c>
      <c r="C310" s="21" t="s">
        <v>127</v>
      </c>
      <c r="D310" s="18">
        <f t="shared" si="67"/>
        <v>8.7999999999999972</v>
      </c>
      <c r="E310" s="18">
        <v>6.8</v>
      </c>
      <c r="F310" s="17">
        <f t="shared" si="68"/>
        <v>0.29411764705882315</v>
      </c>
      <c r="G310" s="17">
        <f t="shared" si="69"/>
        <v>0.10034207525655636</v>
      </c>
      <c r="H310" s="17">
        <f t="shared" si="70"/>
        <v>0.10256410256410241</v>
      </c>
      <c r="J310" s="20">
        <v>3</v>
      </c>
      <c r="K310" s="21" t="s">
        <v>127</v>
      </c>
      <c r="L310" s="18">
        <v>81.2</v>
      </c>
      <c r="M310" s="22">
        <v>76.3</v>
      </c>
      <c r="N310" s="17">
        <f t="shared" si="71"/>
        <v>6.4220183486238591E-2</v>
      </c>
      <c r="O310" s="17">
        <f t="shared" si="72"/>
        <v>0.11824668705402649</v>
      </c>
      <c r="P310" s="17">
        <f t="shared" si="73"/>
        <v>0.13887877684746996</v>
      </c>
    </row>
    <row r="311" spans="1:16" ht="14" customHeight="1" x14ac:dyDescent="0.25">
      <c r="A311" s="154"/>
      <c r="B311" s="20">
        <v>4</v>
      </c>
      <c r="C311" s="21" t="s">
        <v>71</v>
      </c>
      <c r="D311" s="18">
        <f t="shared" si="67"/>
        <v>3.8000000000000007</v>
      </c>
      <c r="E311" s="18">
        <v>3.4</v>
      </c>
      <c r="F311" s="17">
        <f t="shared" si="68"/>
        <v>0.11764705882352966</v>
      </c>
      <c r="G311" s="17">
        <f t="shared" si="69"/>
        <v>4.332953249714936E-2</v>
      </c>
      <c r="H311" s="17">
        <f t="shared" si="70"/>
        <v>5.1282051282051204E-2</v>
      </c>
      <c r="J311" s="20">
        <v>4</v>
      </c>
      <c r="K311" s="21" t="s">
        <v>71</v>
      </c>
      <c r="L311" s="18">
        <v>33.1</v>
      </c>
      <c r="M311" s="18">
        <v>26.4</v>
      </c>
      <c r="N311" s="17">
        <f t="shared" si="71"/>
        <v>0.2537878787878789</v>
      </c>
      <c r="O311" s="17">
        <f t="shared" si="72"/>
        <v>4.8201543614387651E-2</v>
      </c>
      <c r="P311" s="17">
        <f t="shared" si="73"/>
        <v>4.8052420822715693E-2</v>
      </c>
    </row>
    <row r="312" spans="1:16" ht="14" customHeight="1" x14ac:dyDescent="0.25">
      <c r="A312" s="154"/>
      <c r="B312" s="20">
        <v>5</v>
      </c>
      <c r="C312" s="21" t="s">
        <v>25</v>
      </c>
      <c r="D312" s="18">
        <f t="shared" si="67"/>
        <v>2.6000000000000014</v>
      </c>
      <c r="E312" s="18">
        <v>3.3</v>
      </c>
      <c r="F312" s="17">
        <f t="shared" si="68"/>
        <v>-0.2121212121212116</v>
      </c>
      <c r="G312" s="17">
        <f t="shared" si="69"/>
        <v>2.9646522234891677E-2</v>
      </c>
      <c r="H312" s="17">
        <f t="shared" si="70"/>
        <v>4.9773755656108525E-2</v>
      </c>
      <c r="J312" s="20">
        <v>5</v>
      </c>
      <c r="K312" s="21" t="s">
        <v>25</v>
      </c>
      <c r="L312" s="18">
        <v>31.1</v>
      </c>
      <c r="M312" s="18">
        <v>28.4</v>
      </c>
      <c r="N312" s="17">
        <f t="shared" si="71"/>
        <v>9.5070422535211474E-2</v>
      </c>
      <c r="O312" s="17">
        <f t="shared" si="72"/>
        <v>4.5289063637687491E-2</v>
      </c>
      <c r="P312" s="17">
        <f t="shared" si="73"/>
        <v>5.1692755733527482E-2</v>
      </c>
    </row>
    <row r="313" spans="1:16" ht="14" customHeight="1" x14ac:dyDescent="0.25">
      <c r="A313" s="154"/>
      <c r="B313" s="20">
        <v>6</v>
      </c>
      <c r="C313" s="21" t="s">
        <v>72</v>
      </c>
      <c r="D313" s="18">
        <f t="shared" si="67"/>
        <v>2.6999999999999993</v>
      </c>
      <c r="E313" s="18">
        <v>3.5</v>
      </c>
      <c r="F313" s="17">
        <f t="shared" si="68"/>
        <v>-0.22857142857142876</v>
      </c>
      <c r="G313" s="17">
        <f t="shared" si="69"/>
        <v>3.0786773090079794E-2</v>
      </c>
      <c r="H313" s="17">
        <f t="shared" si="70"/>
        <v>5.279034690799389E-2</v>
      </c>
      <c r="J313" s="20">
        <v>6</v>
      </c>
      <c r="K313" s="21" t="s">
        <v>72</v>
      </c>
      <c r="L313" s="18">
        <v>28.4</v>
      </c>
      <c r="M313" s="18">
        <v>36</v>
      </c>
      <c r="N313" s="17">
        <f t="shared" si="71"/>
        <v>-0.21111111111111114</v>
      </c>
      <c r="O313" s="17">
        <f t="shared" si="72"/>
        <v>4.1357215669142272E-2</v>
      </c>
      <c r="P313" s="17">
        <f t="shared" si="73"/>
        <v>6.5526028394612301E-2</v>
      </c>
    </row>
    <row r="314" spans="1:16" ht="14" customHeight="1" x14ac:dyDescent="0.25">
      <c r="A314" s="154"/>
      <c r="B314" s="20">
        <v>7</v>
      </c>
      <c r="C314" s="21" t="s">
        <v>128</v>
      </c>
      <c r="D314" s="18">
        <f t="shared" si="67"/>
        <v>2.3000000000000007</v>
      </c>
      <c r="E314" s="18">
        <v>3.4</v>
      </c>
      <c r="F314" s="17">
        <f t="shared" si="68"/>
        <v>-0.32352941176470562</v>
      </c>
      <c r="G314" s="17">
        <f t="shared" si="69"/>
        <v>2.6225769669327246E-2</v>
      </c>
      <c r="H314" s="17">
        <f t="shared" si="70"/>
        <v>5.1282051282051204E-2</v>
      </c>
      <c r="J314" s="20">
        <v>7</v>
      </c>
      <c r="K314" s="21" t="s">
        <v>128</v>
      </c>
      <c r="L314" s="18">
        <v>26.2</v>
      </c>
      <c r="M314" s="18">
        <v>25.6</v>
      </c>
      <c r="N314" s="17">
        <f t="shared" si="71"/>
        <v>2.34375E-2</v>
      </c>
      <c r="O314" s="17">
        <f t="shared" si="72"/>
        <v>3.8153487694772094E-2</v>
      </c>
      <c r="P314" s="17">
        <f t="shared" si="73"/>
        <v>4.6596286858390977E-2</v>
      </c>
    </row>
    <row r="315" spans="1:16" ht="14" customHeight="1" x14ac:dyDescent="0.25">
      <c r="A315" s="154"/>
      <c r="B315" s="20">
        <v>8</v>
      </c>
      <c r="C315" s="21" t="s">
        <v>70</v>
      </c>
      <c r="D315" s="18">
        <f t="shared" si="67"/>
        <v>2.3999999999999986</v>
      </c>
      <c r="E315" s="18">
        <v>2.9</v>
      </c>
      <c r="F315" s="17">
        <f t="shared" si="68"/>
        <v>-0.17241379310344873</v>
      </c>
      <c r="G315" s="17">
        <f t="shared" si="69"/>
        <v>2.7366020524515363E-2</v>
      </c>
      <c r="H315" s="17">
        <f t="shared" si="70"/>
        <v>4.3740573152337793E-2</v>
      </c>
      <c r="J315" s="20">
        <v>8</v>
      </c>
      <c r="K315" s="21" t="s">
        <v>70</v>
      </c>
      <c r="L315" s="18">
        <v>17.7</v>
      </c>
      <c r="M315" s="18">
        <v>12.8</v>
      </c>
      <c r="N315" s="17">
        <f t="shared" si="71"/>
        <v>0.38281249999999978</v>
      </c>
      <c r="O315" s="17">
        <f t="shared" si="72"/>
        <v>2.5775447793796414E-2</v>
      </c>
      <c r="P315" s="17">
        <f t="shared" si="73"/>
        <v>2.3298143429195489E-2</v>
      </c>
    </row>
    <row r="316" spans="1:16" ht="14" customHeight="1" x14ac:dyDescent="0.25">
      <c r="A316" s="154"/>
      <c r="B316" s="20">
        <v>9</v>
      </c>
      <c r="C316" s="21" t="s">
        <v>73</v>
      </c>
      <c r="D316" s="18">
        <f t="shared" ref="D316:D319" si="74">L316-L334</f>
        <v>2.8000000000000007</v>
      </c>
      <c r="E316" s="18">
        <v>1.1000000000000001</v>
      </c>
      <c r="F316" s="17">
        <f t="shared" si="68"/>
        <v>1.5454545454545459</v>
      </c>
      <c r="G316" s="17">
        <f t="shared" si="69"/>
        <v>3.1927023945267953E-2</v>
      </c>
      <c r="H316" s="17">
        <f t="shared" si="70"/>
        <v>1.6591251885369508E-2</v>
      </c>
      <c r="J316" s="20">
        <v>9</v>
      </c>
      <c r="K316" s="21" t="s">
        <v>73</v>
      </c>
      <c r="L316" s="18">
        <v>16.3</v>
      </c>
      <c r="M316" s="18">
        <v>12.4</v>
      </c>
      <c r="N316" s="17">
        <f t="shared" si="71"/>
        <v>0.31451612903225801</v>
      </c>
      <c r="O316" s="17">
        <f t="shared" si="72"/>
        <v>2.3736711810106306E-2</v>
      </c>
      <c r="P316" s="17">
        <f t="shared" si="73"/>
        <v>2.2570076447033127E-2</v>
      </c>
    </row>
    <row r="317" spans="1:16" ht="14" customHeight="1" x14ac:dyDescent="0.25">
      <c r="A317" s="154"/>
      <c r="B317" s="20">
        <v>10</v>
      </c>
      <c r="C317" s="21" t="s">
        <v>129</v>
      </c>
      <c r="D317" s="18">
        <f t="shared" si="74"/>
        <v>1.6000000000000014</v>
      </c>
      <c r="E317" s="18">
        <v>0.9</v>
      </c>
      <c r="F317" s="17">
        <f t="shared" si="68"/>
        <v>0.77777777777777923</v>
      </c>
      <c r="G317" s="17">
        <f t="shared" si="69"/>
        <v>1.824401368301027E-2</v>
      </c>
      <c r="H317" s="17">
        <f t="shared" si="70"/>
        <v>1.3574660633484144E-2</v>
      </c>
      <c r="J317" s="20">
        <v>10</v>
      </c>
      <c r="K317" s="21" t="s">
        <v>129</v>
      </c>
      <c r="L317" s="18">
        <v>14.3</v>
      </c>
      <c r="M317" s="18">
        <v>8.5</v>
      </c>
      <c r="N317" s="17">
        <f t="shared" si="71"/>
        <v>0.68235294117647061</v>
      </c>
      <c r="O317" s="17">
        <f t="shared" si="72"/>
        <v>2.0824231833406145E-2</v>
      </c>
      <c r="P317" s="17">
        <f t="shared" si="73"/>
        <v>1.5471423370950128E-2</v>
      </c>
    </row>
    <row r="318" spans="1:16" ht="14" customHeight="1" x14ac:dyDescent="0.25">
      <c r="A318" s="154"/>
      <c r="B318" s="15"/>
      <c r="C318" s="15" t="s">
        <v>105</v>
      </c>
      <c r="D318" s="18">
        <f t="shared" si="74"/>
        <v>10.700000000000003</v>
      </c>
      <c r="E318" s="18">
        <v>5.2</v>
      </c>
      <c r="F318" s="17">
        <f t="shared" si="68"/>
        <v>1.0576923076923084</v>
      </c>
      <c r="G318" s="17">
        <f t="shared" si="69"/>
        <v>0.12200684150513109</v>
      </c>
      <c r="H318" s="17">
        <f t="shared" si="70"/>
        <v>7.8431372549019496E-2</v>
      </c>
      <c r="J318" s="15"/>
      <c r="K318" s="15" t="s">
        <v>105</v>
      </c>
      <c r="L318" s="18">
        <v>70.2</v>
      </c>
      <c r="M318" s="18">
        <v>38.200000000000003</v>
      </c>
      <c r="N318" s="17">
        <f t="shared" si="71"/>
        <v>0.83769633507853403</v>
      </c>
      <c r="O318" s="17">
        <f t="shared" si="72"/>
        <v>0.10222804718217562</v>
      </c>
      <c r="P318" s="17">
        <f t="shared" si="73"/>
        <v>6.9530396796505287E-2</v>
      </c>
    </row>
    <row r="319" spans="1:16" ht="14" customHeight="1" x14ac:dyDescent="0.25">
      <c r="A319" s="154"/>
      <c r="B319" s="15" t="s">
        <v>130</v>
      </c>
      <c r="C319" s="15"/>
      <c r="D319" s="18">
        <f t="shared" si="74"/>
        <v>87.700000000000045</v>
      </c>
      <c r="E319" s="18">
        <v>66.300000000000097</v>
      </c>
      <c r="F319" s="17">
        <f t="shared" si="68"/>
        <v>0.32277526395173339</v>
      </c>
      <c r="G319" s="17">
        <f t="shared" si="69"/>
        <v>1</v>
      </c>
      <c r="H319" s="17">
        <f t="shared" si="70"/>
        <v>1</v>
      </c>
      <c r="J319" s="15" t="s">
        <v>130</v>
      </c>
      <c r="K319" s="15"/>
      <c r="L319" s="18">
        <v>686.7</v>
      </c>
      <c r="M319" s="15">
        <v>549.4</v>
      </c>
      <c r="N319" s="17">
        <f t="shared" si="71"/>
        <v>0.2499089916272299</v>
      </c>
      <c r="O319" s="17">
        <f t="shared" si="72"/>
        <v>1</v>
      </c>
      <c r="P319" s="17">
        <f t="shared" si="73"/>
        <v>1</v>
      </c>
    </row>
    <row r="320" spans="1:16" ht="14" customHeight="1" x14ac:dyDescent="0.25">
      <c r="A320" s="154"/>
    </row>
    <row r="321" spans="1:16" ht="14" customHeight="1" x14ac:dyDescent="0.25">
      <c r="A321" s="154"/>
    </row>
    <row r="322" spans="1:16" ht="14" customHeight="1" x14ac:dyDescent="0.25">
      <c r="A322" s="154"/>
    </row>
    <row r="323" spans="1:16" ht="14" customHeight="1" x14ac:dyDescent="0.25">
      <c r="A323" s="154"/>
    </row>
    <row r="324" spans="1:16" ht="14" customHeight="1" x14ac:dyDescent="0.25">
      <c r="A324" s="154"/>
      <c r="B324" s="11" t="s">
        <v>139</v>
      </c>
      <c r="C324" s="11"/>
      <c r="D324" s="11"/>
      <c r="E324" s="11"/>
      <c r="F324" s="11"/>
      <c r="G324" s="11"/>
      <c r="H324" s="11"/>
      <c r="J324" s="10" t="s">
        <v>140</v>
      </c>
      <c r="K324" s="11"/>
      <c r="L324" s="11"/>
      <c r="M324" s="11"/>
      <c r="N324" s="11"/>
      <c r="O324" s="11"/>
      <c r="P324" s="11"/>
    </row>
    <row r="325" spans="1:16" ht="14" customHeight="1" x14ac:dyDescent="0.25">
      <c r="A325" s="154"/>
      <c r="B325" s="11" t="s">
        <v>96</v>
      </c>
      <c r="C325" s="15" t="s">
        <v>123</v>
      </c>
      <c r="D325" s="19">
        <v>45536</v>
      </c>
      <c r="E325" s="19">
        <v>45170</v>
      </c>
      <c r="F325" s="15" t="s">
        <v>34</v>
      </c>
      <c r="G325" s="15" t="s">
        <v>97</v>
      </c>
      <c r="H325" s="15" t="s">
        <v>124</v>
      </c>
      <c r="J325" s="11" t="s">
        <v>96</v>
      </c>
      <c r="K325" s="15" t="s">
        <v>123</v>
      </c>
      <c r="L325" s="19" t="s">
        <v>141</v>
      </c>
      <c r="M325" s="19" t="s">
        <v>142</v>
      </c>
      <c r="N325" s="15" t="s">
        <v>34</v>
      </c>
      <c r="O325" s="15" t="s">
        <v>97</v>
      </c>
      <c r="P325" s="15" t="s">
        <v>124</v>
      </c>
    </row>
    <row r="326" spans="1:16" ht="14" customHeight="1" x14ac:dyDescent="0.25">
      <c r="A326" s="154"/>
      <c r="B326" s="20">
        <v>1</v>
      </c>
      <c r="C326" s="21" t="s">
        <v>68</v>
      </c>
      <c r="D326" s="18">
        <f>L326-L344</f>
        <v>30.400000000000006</v>
      </c>
      <c r="E326" s="18">
        <v>20.6</v>
      </c>
      <c r="F326" s="17">
        <f>D326/E326-1</f>
        <v>0.47572815533980606</v>
      </c>
      <c r="G326" s="17">
        <f>D326/$D$337</f>
        <v>0.34195725534308224</v>
      </c>
      <c r="H326" s="17">
        <f>E326/$E$337</f>
        <v>0.36203866432337439</v>
      </c>
      <c r="J326" s="20">
        <v>1</v>
      </c>
      <c r="K326" s="21" t="s">
        <v>68</v>
      </c>
      <c r="L326" s="18">
        <v>219.6</v>
      </c>
      <c r="M326" s="18">
        <v>173.6</v>
      </c>
      <c r="N326" s="17">
        <f>L326/M326-1</f>
        <v>0.26497695852534564</v>
      </c>
      <c r="O326" s="17">
        <f>L326/$L$337</f>
        <v>0.36661101836393989</v>
      </c>
      <c r="P326" s="17">
        <f>M326/$M$337</f>
        <v>0.35771687615907682</v>
      </c>
    </row>
    <row r="327" spans="1:16" ht="14" customHeight="1" x14ac:dyDescent="0.25">
      <c r="A327" s="154"/>
      <c r="B327" s="20">
        <v>2</v>
      </c>
      <c r="C327" s="21" t="s">
        <v>69</v>
      </c>
      <c r="D327" s="18">
        <f t="shared" ref="D327:D328" si="75">L327-L345</f>
        <v>14.599999999999994</v>
      </c>
      <c r="E327" s="18">
        <v>8.4</v>
      </c>
      <c r="F327" s="17">
        <f t="shared" ref="F327:F337" si="76">D327/E327-1</f>
        <v>0.73809523809523725</v>
      </c>
      <c r="G327" s="17">
        <f t="shared" ref="G327:G337" si="77">D327/$D$337</f>
        <v>0.16422947131608548</v>
      </c>
      <c r="H327" s="17">
        <f t="shared" ref="H327:H337" si="78">E327/$E$337</f>
        <v>0.14762741652021091</v>
      </c>
      <c r="J327" s="20">
        <v>2</v>
      </c>
      <c r="K327" s="21" t="s">
        <v>69</v>
      </c>
      <c r="L327" s="18">
        <v>98.5</v>
      </c>
      <c r="M327" s="18">
        <v>77</v>
      </c>
      <c r="N327" s="17">
        <f t="shared" ref="N327:N337" si="79">L327/M327-1</f>
        <v>0.27922077922077926</v>
      </c>
      <c r="O327" s="17">
        <f t="shared" ref="O327:O337" si="80">L327/$L$337</f>
        <v>0.164440734557596</v>
      </c>
      <c r="P327" s="17">
        <f t="shared" ref="P327:P337" si="81">M327/$M$337</f>
        <v>0.15866474345765505</v>
      </c>
    </row>
    <row r="328" spans="1:16" ht="14" customHeight="1" x14ac:dyDescent="0.25">
      <c r="A328" s="154"/>
      <c r="B328" s="20">
        <v>3</v>
      </c>
      <c r="C328" s="21" t="s">
        <v>127</v>
      </c>
      <c r="D328" s="18">
        <f t="shared" si="75"/>
        <v>10.600000000000009</v>
      </c>
      <c r="E328" s="18">
        <v>8.5</v>
      </c>
      <c r="F328" s="17">
        <f t="shared" si="76"/>
        <v>0.24705882352941266</v>
      </c>
      <c r="G328" s="17">
        <f t="shared" si="77"/>
        <v>0.1192350956130485</v>
      </c>
      <c r="H328" s="17">
        <f t="shared" si="78"/>
        <v>0.14938488576449913</v>
      </c>
      <c r="J328" s="20">
        <v>3</v>
      </c>
      <c r="K328" s="21" t="s">
        <v>127</v>
      </c>
      <c r="L328" s="18">
        <v>72.400000000000006</v>
      </c>
      <c r="M328" s="22">
        <v>69.400000000000006</v>
      </c>
      <c r="N328" s="17">
        <f t="shared" si="79"/>
        <v>4.3227665706051965E-2</v>
      </c>
      <c r="O328" s="17">
        <f t="shared" si="80"/>
        <v>0.12086811352253757</v>
      </c>
      <c r="P328" s="17">
        <f t="shared" si="81"/>
        <v>0.14300432722027612</v>
      </c>
    </row>
    <row r="329" spans="1:16" ht="14" customHeight="1" x14ac:dyDescent="0.25">
      <c r="A329" s="154"/>
      <c r="B329" s="20">
        <v>4</v>
      </c>
      <c r="C329" s="21" t="s">
        <v>71</v>
      </c>
      <c r="D329" s="18">
        <f>L329-L348</f>
        <v>4.9000000000000021</v>
      </c>
      <c r="E329" s="18">
        <v>2.5</v>
      </c>
      <c r="F329" s="17">
        <f t="shared" si="76"/>
        <v>0.96000000000000085</v>
      </c>
      <c r="G329" s="17">
        <f t="shared" si="77"/>
        <v>5.5118110236220513E-2</v>
      </c>
      <c r="H329" s="17">
        <f t="shared" si="78"/>
        <v>4.3936731107205626E-2</v>
      </c>
      <c r="J329" s="20">
        <v>4</v>
      </c>
      <c r="K329" s="21" t="s">
        <v>71</v>
      </c>
      <c r="L329" s="18">
        <v>29.3</v>
      </c>
      <c r="M329" s="18">
        <v>23.1</v>
      </c>
      <c r="N329" s="17">
        <f t="shared" si="79"/>
        <v>0.26839826839826841</v>
      </c>
      <c r="O329" s="17">
        <f t="shared" si="80"/>
        <v>4.8914858096828051E-2</v>
      </c>
      <c r="P329" s="17">
        <f t="shared" si="81"/>
        <v>4.7599423037296522E-2</v>
      </c>
    </row>
    <row r="330" spans="1:16" ht="14" customHeight="1" x14ac:dyDescent="0.25">
      <c r="A330" s="154"/>
      <c r="B330" s="20">
        <v>5</v>
      </c>
      <c r="C330" s="21" t="s">
        <v>25</v>
      </c>
      <c r="D330" s="18">
        <f>L330-L347</f>
        <v>4.1000000000000014</v>
      </c>
      <c r="E330" s="18">
        <v>2.9</v>
      </c>
      <c r="F330" s="17">
        <f t="shared" si="76"/>
        <v>0.41379310344827647</v>
      </c>
      <c r="G330" s="17">
        <f t="shared" si="77"/>
        <v>4.6119235095613074E-2</v>
      </c>
      <c r="H330" s="17">
        <f t="shared" si="78"/>
        <v>5.0966608084358524E-2</v>
      </c>
      <c r="J330" s="20">
        <v>5</v>
      </c>
      <c r="K330" s="21" t="s">
        <v>25</v>
      </c>
      <c r="L330" s="18">
        <v>28.5</v>
      </c>
      <c r="M330" s="18">
        <v>25.3</v>
      </c>
      <c r="N330" s="17">
        <f t="shared" si="79"/>
        <v>0.12648221343873511</v>
      </c>
      <c r="O330" s="17">
        <f t="shared" si="80"/>
        <v>4.757929883138564E-2</v>
      </c>
      <c r="P330" s="17">
        <f t="shared" si="81"/>
        <v>5.2132701421800945E-2</v>
      </c>
    </row>
    <row r="331" spans="1:16" ht="14" customHeight="1" x14ac:dyDescent="0.25">
      <c r="A331" s="154"/>
      <c r="B331" s="20">
        <v>6</v>
      </c>
      <c r="C331" s="21" t="s">
        <v>72</v>
      </c>
      <c r="D331" s="18">
        <f>L331-L349</f>
        <v>3.3000000000000007</v>
      </c>
      <c r="E331" s="18">
        <v>3.2</v>
      </c>
      <c r="F331" s="17">
        <f t="shared" si="76"/>
        <v>3.1250000000000222E-2</v>
      </c>
      <c r="G331" s="17">
        <f t="shared" si="77"/>
        <v>3.7120359955005643E-2</v>
      </c>
      <c r="H331" s="17">
        <f t="shared" si="78"/>
        <v>5.6239015817223202E-2</v>
      </c>
      <c r="J331" s="20">
        <v>6</v>
      </c>
      <c r="K331" s="21" t="s">
        <v>72</v>
      </c>
      <c r="L331" s="18">
        <v>25.7</v>
      </c>
      <c r="M331" s="18">
        <v>32.299999999999997</v>
      </c>
      <c r="N331" s="17">
        <f t="shared" si="79"/>
        <v>-0.20433436532507732</v>
      </c>
      <c r="O331" s="17">
        <f t="shared" si="80"/>
        <v>4.2904841402337225E-2</v>
      </c>
      <c r="P331" s="17">
        <f t="shared" si="81"/>
        <v>6.6556769008860497E-2</v>
      </c>
    </row>
    <row r="332" spans="1:16" ht="14" customHeight="1" x14ac:dyDescent="0.25">
      <c r="A332" s="154"/>
      <c r="B332" s="20">
        <v>7</v>
      </c>
      <c r="C332" s="21" t="s">
        <v>128</v>
      </c>
      <c r="D332" s="18">
        <f>L332-L350</f>
        <v>2.5999999999999979</v>
      </c>
      <c r="E332" s="18">
        <v>4.0999999999999996</v>
      </c>
      <c r="F332" s="17">
        <f t="shared" si="76"/>
        <v>-0.3658536585365858</v>
      </c>
      <c r="G332" s="17">
        <f t="shared" si="77"/>
        <v>2.9246344206974112E-2</v>
      </c>
      <c r="H332" s="17">
        <f t="shared" si="78"/>
        <v>7.2056239015817217E-2</v>
      </c>
      <c r="J332" s="20">
        <v>7</v>
      </c>
      <c r="K332" s="21" t="s">
        <v>128</v>
      </c>
      <c r="L332" s="18">
        <v>23.9</v>
      </c>
      <c r="M332" s="18">
        <v>22.6</v>
      </c>
      <c r="N332" s="17">
        <f t="shared" si="79"/>
        <v>5.7522123893805288E-2</v>
      </c>
      <c r="O332" s="17">
        <f t="shared" si="80"/>
        <v>3.9899833055091816E-2</v>
      </c>
      <c r="P332" s="17">
        <f t="shared" si="81"/>
        <v>4.6569132495363694E-2</v>
      </c>
    </row>
    <row r="333" spans="1:16" ht="14" customHeight="1" x14ac:dyDescent="0.25">
      <c r="A333" s="154"/>
      <c r="B333" s="20">
        <v>8</v>
      </c>
      <c r="C333" s="21" t="s">
        <v>70</v>
      </c>
      <c r="D333" s="18">
        <f>L333-L352</f>
        <v>4</v>
      </c>
      <c r="E333" s="18">
        <v>1</v>
      </c>
      <c r="F333" s="17">
        <f t="shared" si="76"/>
        <v>3</v>
      </c>
      <c r="G333" s="17">
        <f t="shared" si="77"/>
        <v>4.4994375703037132E-2</v>
      </c>
      <c r="H333" s="17">
        <f t="shared" si="78"/>
        <v>1.7574692442882251E-2</v>
      </c>
      <c r="J333" s="20">
        <v>8</v>
      </c>
      <c r="K333" s="21" t="s">
        <v>70</v>
      </c>
      <c r="L333" s="18">
        <v>15.3</v>
      </c>
      <c r="M333" s="18">
        <v>11.1</v>
      </c>
      <c r="N333" s="17">
        <f t="shared" si="79"/>
        <v>0.37837837837837851</v>
      </c>
      <c r="O333" s="17">
        <f t="shared" si="80"/>
        <v>2.5542570951585977E-2</v>
      </c>
      <c r="P333" s="17">
        <f t="shared" si="81"/>
        <v>2.2872450030908716E-2</v>
      </c>
    </row>
    <row r="334" spans="1:16" ht="14" customHeight="1" x14ac:dyDescent="0.25">
      <c r="A334" s="154"/>
      <c r="B334" s="20">
        <v>9</v>
      </c>
      <c r="C334" s="21" t="s">
        <v>73</v>
      </c>
      <c r="D334" s="18">
        <f>L334-L351</f>
        <v>0.40000000000000036</v>
      </c>
      <c r="E334" s="18">
        <v>1.4</v>
      </c>
      <c r="F334" s="17">
        <f t="shared" si="76"/>
        <v>-0.71428571428571397</v>
      </c>
      <c r="G334" s="17">
        <f t="shared" si="77"/>
        <v>4.4994375703037168E-3</v>
      </c>
      <c r="H334" s="17">
        <f t="shared" si="78"/>
        <v>2.4604569420035149E-2</v>
      </c>
      <c r="J334" s="20">
        <v>9</v>
      </c>
      <c r="K334" s="21" t="s">
        <v>73</v>
      </c>
      <c r="L334" s="18">
        <v>13.5</v>
      </c>
      <c r="M334" s="18">
        <v>10.8</v>
      </c>
      <c r="N334" s="17">
        <f t="shared" si="79"/>
        <v>0.25</v>
      </c>
      <c r="O334" s="17">
        <f t="shared" si="80"/>
        <v>2.2537562604340568E-2</v>
      </c>
      <c r="P334" s="17">
        <f t="shared" si="81"/>
        <v>2.2254275705749022E-2</v>
      </c>
    </row>
    <row r="335" spans="1:16" ht="14" customHeight="1" x14ac:dyDescent="0.25">
      <c r="A335" s="154"/>
      <c r="B335" s="20">
        <v>10</v>
      </c>
      <c r="C335" s="21" t="s">
        <v>129</v>
      </c>
      <c r="D335" s="18">
        <f>L335-L353</f>
        <v>2.2999999999999989</v>
      </c>
      <c r="E335" s="18">
        <v>0.6</v>
      </c>
      <c r="F335" s="17">
        <f t="shared" si="76"/>
        <v>2.8333333333333317</v>
      </c>
      <c r="G335" s="17">
        <f t="shared" si="77"/>
        <v>2.5871766029246339E-2</v>
      </c>
      <c r="H335" s="17">
        <f t="shared" si="78"/>
        <v>1.054481546572935E-2</v>
      </c>
      <c r="J335" s="20">
        <v>10</v>
      </c>
      <c r="K335" s="21" t="s">
        <v>129</v>
      </c>
      <c r="L335" s="18">
        <v>12.7</v>
      </c>
      <c r="M335" s="18">
        <v>7.5</v>
      </c>
      <c r="N335" s="17">
        <f t="shared" si="79"/>
        <v>0.69333333333333313</v>
      </c>
      <c r="O335" s="17">
        <f t="shared" si="80"/>
        <v>2.1202003338898164E-2</v>
      </c>
      <c r="P335" s="17">
        <f t="shared" si="81"/>
        <v>1.5454358128992375E-2</v>
      </c>
    </row>
    <row r="336" spans="1:16" ht="14" customHeight="1" x14ac:dyDescent="0.25">
      <c r="A336" s="154"/>
      <c r="B336" s="15"/>
      <c r="C336" s="15" t="s">
        <v>105</v>
      </c>
      <c r="D336" s="18">
        <f>D337-SUM(D326:D335)</f>
        <v>11.69999999999996</v>
      </c>
      <c r="E336" s="18">
        <v>3.7</v>
      </c>
      <c r="F336" s="17">
        <f t="shared" si="76"/>
        <v>2.1621621621621512</v>
      </c>
      <c r="G336" s="17">
        <f t="shared" si="77"/>
        <v>0.13160854893138316</v>
      </c>
      <c r="H336" s="17">
        <f t="shared" si="78"/>
        <v>6.5026362038664326E-2</v>
      </c>
      <c r="J336" s="15"/>
      <c r="K336" s="15" t="s">
        <v>105</v>
      </c>
      <c r="L336" s="18">
        <v>59.5</v>
      </c>
      <c r="M336" s="18">
        <v>32.6</v>
      </c>
      <c r="N336" s="17">
        <f t="shared" si="79"/>
        <v>0.82515337423312873</v>
      </c>
      <c r="O336" s="17">
        <f t="shared" si="80"/>
        <v>9.9332220367278803E-2</v>
      </c>
      <c r="P336" s="17">
        <f t="shared" si="81"/>
        <v>6.7174943334020201E-2</v>
      </c>
    </row>
    <row r="337" spans="1:16" ht="14" customHeight="1" x14ac:dyDescent="0.25">
      <c r="A337" s="154"/>
      <c r="B337" s="15" t="s">
        <v>130</v>
      </c>
      <c r="C337" s="15"/>
      <c r="D337" s="18">
        <f>L337-L355</f>
        <v>88.899999999999977</v>
      </c>
      <c r="E337" s="18">
        <v>56.9</v>
      </c>
      <c r="F337" s="17">
        <f t="shared" si="76"/>
        <v>0.5623901581722317</v>
      </c>
      <c r="G337" s="17">
        <f t="shared" si="77"/>
        <v>1</v>
      </c>
      <c r="H337" s="17">
        <f t="shared" si="78"/>
        <v>1</v>
      </c>
      <c r="J337" s="15" t="s">
        <v>130</v>
      </c>
      <c r="K337" s="15"/>
      <c r="L337" s="18">
        <v>599</v>
      </c>
      <c r="M337" s="15">
        <v>485.3</v>
      </c>
      <c r="N337" s="17">
        <f t="shared" si="79"/>
        <v>0.23428806923552448</v>
      </c>
      <c r="O337" s="17">
        <f t="shared" si="80"/>
        <v>1</v>
      </c>
      <c r="P337" s="17">
        <f t="shared" si="81"/>
        <v>1</v>
      </c>
    </row>
    <row r="338" spans="1:16" ht="14" customHeight="1" x14ac:dyDescent="0.25">
      <c r="A338" s="154"/>
    </row>
    <row r="339" spans="1:16" ht="14" customHeight="1" x14ac:dyDescent="0.25">
      <c r="A339" s="154"/>
    </row>
    <row r="340" spans="1:16" ht="14" customHeight="1" x14ac:dyDescent="0.25">
      <c r="A340" s="154"/>
    </row>
    <row r="341" spans="1:16" ht="14" customHeight="1" x14ac:dyDescent="0.25">
      <c r="A341" s="154"/>
    </row>
    <row r="342" spans="1:16" ht="14" customHeight="1" x14ac:dyDescent="0.25">
      <c r="A342" s="154"/>
      <c r="B342" s="11" t="s">
        <v>143</v>
      </c>
      <c r="C342" s="11"/>
      <c r="D342" s="11"/>
      <c r="E342" s="11"/>
      <c r="F342" s="11"/>
      <c r="G342" s="11"/>
      <c r="H342" s="11"/>
      <c r="J342" s="10" t="s">
        <v>144</v>
      </c>
      <c r="K342" s="11"/>
      <c r="L342" s="11"/>
      <c r="M342" s="11"/>
      <c r="N342" s="11"/>
      <c r="O342" s="11"/>
      <c r="P342" s="11"/>
    </row>
    <row r="343" spans="1:16" ht="14" customHeight="1" x14ac:dyDescent="0.25">
      <c r="A343" s="154"/>
      <c r="B343" s="11" t="s">
        <v>96</v>
      </c>
      <c r="C343" s="15" t="s">
        <v>123</v>
      </c>
      <c r="D343" s="19">
        <v>45505</v>
      </c>
      <c r="E343" s="19">
        <v>45139</v>
      </c>
      <c r="F343" s="15" t="s">
        <v>34</v>
      </c>
      <c r="G343" s="15" t="s">
        <v>97</v>
      </c>
      <c r="H343" s="15" t="s">
        <v>124</v>
      </c>
      <c r="J343" s="11" t="s">
        <v>96</v>
      </c>
      <c r="K343" s="15" t="s">
        <v>123</v>
      </c>
      <c r="L343" s="19" t="s">
        <v>145</v>
      </c>
      <c r="M343" s="19" t="s">
        <v>146</v>
      </c>
      <c r="N343" s="15" t="s">
        <v>34</v>
      </c>
      <c r="O343" s="15" t="s">
        <v>97</v>
      </c>
      <c r="P343" s="15" t="s">
        <v>124</v>
      </c>
    </row>
    <row r="344" spans="1:16" ht="14" customHeight="1" x14ac:dyDescent="0.25">
      <c r="A344" s="154"/>
      <c r="B344" s="20">
        <v>1</v>
      </c>
      <c r="C344" s="21" t="s">
        <v>68</v>
      </c>
      <c r="D344" s="18">
        <f>L344-L362</f>
        <v>25.899999999999977</v>
      </c>
      <c r="E344" s="18">
        <f>M344-M362</f>
        <v>23.000000000000014</v>
      </c>
      <c r="F344" s="17">
        <f>D344/E344-1</f>
        <v>0.12608695652173751</v>
      </c>
      <c r="G344" s="17">
        <f>D344/$D$355</f>
        <v>0.34214002642007874</v>
      </c>
      <c r="H344" s="17">
        <f>E344/$E$355</f>
        <v>0.35881435257410305</v>
      </c>
      <c r="J344" s="20">
        <v>1</v>
      </c>
      <c r="K344" s="21" t="s">
        <v>68</v>
      </c>
      <c r="L344" s="18">
        <v>189.2</v>
      </c>
      <c r="M344" s="18">
        <v>148.80000000000001</v>
      </c>
      <c r="N344" s="17">
        <f>L344/M344-1</f>
        <v>0.27150537634408578</v>
      </c>
      <c r="O344" s="17">
        <f>L344/$L$355</f>
        <v>0.37090766516369333</v>
      </c>
      <c r="P344" s="17">
        <f>M344/$M$355</f>
        <v>0.35504652827487476</v>
      </c>
    </row>
    <row r="345" spans="1:16" ht="14" customHeight="1" x14ac:dyDescent="0.25">
      <c r="A345" s="154"/>
      <c r="B345" s="20">
        <v>2</v>
      </c>
      <c r="C345" s="21" t="s">
        <v>69</v>
      </c>
      <c r="D345" s="18">
        <f t="shared" ref="D345:D346" si="82">L345-L363</f>
        <v>14</v>
      </c>
      <c r="E345" s="18">
        <f>M345-M363</f>
        <v>10.099999999999994</v>
      </c>
      <c r="F345" s="17">
        <f t="shared" ref="F345:F355" si="83">D345/E345-1</f>
        <v>0.38613861386138693</v>
      </c>
      <c r="G345" s="17">
        <f t="shared" ref="G345:G355" si="84">D345/$D$355</f>
        <v>0.18494055482166435</v>
      </c>
      <c r="H345" s="17">
        <f t="shared" ref="H345:H355" si="85">E345/$E$355</f>
        <v>0.15756630265210594</v>
      </c>
      <c r="J345" s="20">
        <v>2</v>
      </c>
      <c r="K345" s="21" t="s">
        <v>69</v>
      </c>
      <c r="L345" s="18">
        <v>83.9</v>
      </c>
      <c r="M345" s="18">
        <v>66.8</v>
      </c>
      <c r="N345" s="17">
        <f t="shared" ref="N345:N355" si="86">L345/M345-1</f>
        <v>0.25598802395209597</v>
      </c>
      <c r="O345" s="17">
        <f t="shared" ref="O345:O355" si="87">L345/$L$355</f>
        <v>0.16447755342089787</v>
      </c>
      <c r="P345" s="17">
        <f t="shared" ref="P345:P355" si="88">M345/$M$355</f>
        <v>0.159389167263183</v>
      </c>
    </row>
    <row r="346" spans="1:16" ht="14" customHeight="1" x14ac:dyDescent="0.25">
      <c r="A346" s="154"/>
      <c r="B346" s="20">
        <v>3</v>
      </c>
      <c r="C346" s="21" t="s">
        <v>127</v>
      </c>
      <c r="D346" s="18">
        <f t="shared" si="82"/>
        <v>7.8999999999999986</v>
      </c>
      <c r="E346" s="18">
        <f>M346-M364</f>
        <v>9.0999999999999943</v>
      </c>
      <c r="F346" s="17">
        <f t="shared" si="83"/>
        <v>-0.13186813186813151</v>
      </c>
      <c r="G346" s="17">
        <f t="shared" si="84"/>
        <v>0.10435931307793915</v>
      </c>
      <c r="H346" s="17">
        <f t="shared" si="85"/>
        <v>0.14196567862714496</v>
      </c>
      <c r="J346" s="20">
        <v>3</v>
      </c>
      <c r="K346" s="21" t="s">
        <v>127</v>
      </c>
      <c r="L346" s="18">
        <v>61.8</v>
      </c>
      <c r="M346" s="22">
        <v>60.3</v>
      </c>
      <c r="N346" s="17">
        <f t="shared" si="86"/>
        <v>2.4875621890547261E-2</v>
      </c>
      <c r="O346" s="17">
        <f t="shared" si="87"/>
        <v>0.12115271515389138</v>
      </c>
      <c r="P346" s="17">
        <f t="shared" si="88"/>
        <v>0.14387974230493913</v>
      </c>
    </row>
    <row r="347" spans="1:16" ht="14" customHeight="1" x14ac:dyDescent="0.25">
      <c r="A347" s="154"/>
      <c r="B347" s="20">
        <v>4</v>
      </c>
      <c r="C347" s="21" t="s">
        <v>71</v>
      </c>
      <c r="D347" s="18">
        <f>L348-L366</f>
        <v>4</v>
      </c>
      <c r="E347" s="18">
        <f>M348-M366</f>
        <v>3.5</v>
      </c>
      <c r="F347" s="17">
        <f t="shared" si="83"/>
        <v>0.14285714285714279</v>
      </c>
      <c r="G347" s="17">
        <f t="shared" si="84"/>
        <v>5.2840158520475529E-2</v>
      </c>
      <c r="H347" s="17">
        <f t="shared" si="85"/>
        <v>5.4602184087363476E-2</v>
      </c>
      <c r="J347" s="20">
        <v>4</v>
      </c>
      <c r="K347" s="21" t="s">
        <v>25</v>
      </c>
      <c r="L347" s="18">
        <v>24.4</v>
      </c>
      <c r="M347" s="18">
        <v>22.6</v>
      </c>
      <c r="N347" s="17">
        <f t="shared" si="86"/>
        <v>7.9646017699114946E-2</v>
      </c>
      <c r="O347" s="17">
        <f t="shared" si="87"/>
        <v>4.7833758086649671E-2</v>
      </c>
      <c r="P347" s="17">
        <f t="shared" si="88"/>
        <v>5.3925077547124792E-2</v>
      </c>
    </row>
    <row r="348" spans="1:16" ht="14" customHeight="1" x14ac:dyDescent="0.25">
      <c r="A348" s="154"/>
      <c r="B348" s="20">
        <v>5</v>
      </c>
      <c r="C348" s="21" t="s">
        <v>25</v>
      </c>
      <c r="D348" s="18">
        <f>L347-L365</f>
        <v>3.8999999999999986</v>
      </c>
      <c r="E348" s="18">
        <f>M347-M365</f>
        <v>3</v>
      </c>
      <c r="F348" s="17">
        <f t="shared" si="83"/>
        <v>0.2999999999999996</v>
      </c>
      <c r="G348" s="17">
        <f t="shared" si="84"/>
        <v>5.1519154557463621E-2</v>
      </c>
      <c r="H348" s="17">
        <f t="shared" si="85"/>
        <v>4.6801872074882976E-2</v>
      </c>
      <c r="J348" s="20">
        <v>5</v>
      </c>
      <c r="K348" s="21" t="s">
        <v>71</v>
      </c>
      <c r="L348" s="18">
        <v>24.4</v>
      </c>
      <c r="M348" s="18">
        <v>19.600000000000001</v>
      </c>
      <c r="N348" s="17">
        <f t="shared" si="86"/>
        <v>0.2448979591836733</v>
      </c>
      <c r="O348" s="17">
        <f t="shared" si="87"/>
        <v>4.7833758086649671E-2</v>
      </c>
      <c r="P348" s="17">
        <f t="shared" si="88"/>
        <v>4.6766881412550705E-2</v>
      </c>
    </row>
    <row r="349" spans="1:16" ht="14" customHeight="1" x14ac:dyDescent="0.25">
      <c r="A349" s="154"/>
      <c r="B349" s="20">
        <v>6</v>
      </c>
      <c r="C349" s="21" t="s">
        <v>72</v>
      </c>
      <c r="D349" s="18">
        <f>L349-L368</f>
        <v>3.5999999999999979</v>
      </c>
      <c r="E349" s="18">
        <f>M349-M368</f>
        <v>3.6999999999999993</v>
      </c>
      <c r="F349" s="17">
        <f t="shared" si="83"/>
        <v>-2.7027027027027417E-2</v>
      </c>
      <c r="G349" s="17">
        <f t="shared" si="84"/>
        <v>4.7556142668427948E-2</v>
      </c>
      <c r="H349" s="17">
        <f t="shared" si="85"/>
        <v>5.7722308892355662E-2</v>
      </c>
      <c r="J349" s="20">
        <v>6</v>
      </c>
      <c r="K349" s="21" t="s">
        <v>72</v>
      </c>
      <c r="L349" s="18">
        <v>22.4</v>
      </c>
      <c r="M349" s="18">
        <v>28.9</v>
      </c>
      <c r="N349" s="17">
        <f t="shared" si="86"/>
        <v>-0.22491349480968859</v>
      </c>
      <c r="O349" s="17">
        <f t="shared" si="87"/>
        <v>4.3912958243481667E-2</v>
      </c>
      <c r="P349" s="17">
        <f t="shared" si="88"/>
        <v>6.8957289429730367E-2</v>
      </c>
    </row>
    <row r="350" spans="1:16" ht="14" customHeight="1" x14ac:dyDescent="0.25">
      <c r="A350" s="154"/>
      <c r="B350" s="20">
        <v>7</v>
      </c>
      <c r="C350" s="21" t="s">
        <v>128</v>
      </c>
      <c r="D350" s="18">
        <f>L350-L367</f>
        <v>2.5</v>
      </c>
      <c r="E350" s="18">
        <f>M350-M367</f>
        <v>2.8999999999999986</v>
      </c>
      <c r="F350" s="17">
        <f t="shared" si="83"/>
        <v>-0.13793103448275823</v>
      </c>
      <c r="G350" s="17">
        <f t="shared" si="84"/>
        <v>3.3025099075297208E-2</v>
      </c>
      <c r="H350" s="17">
        <f t="shared" si="85"/>
        <v>4.5241809672386855E-2</v>
      </c>
      <c r="J350" s="20">
        <v>7</v>
      </c>
      <c r="K350" s="21" t="s">
        <v>128</v>
      </c>
      <c r="L350" s="18">
        <v>21.3</v>
      </c>
      <c r="M350" s="18">
        <v>19.5</v>
      </c>
      <c r="N350" s="17">
        <f t="shared" si="86"/>
        <v>9.2307692307692424E-2</v>
      </c>
      <c r="O350" s="17">
        <f t="shared" si="87"/>
        <v>4.1756518329739263E-2</v>
      </c>
      <c r="P350" s="17">
        <f t="shared" si="88"/>
        <v>4.6528274874731566E-2</v>
      </c>
    </row>
    <row r="351" spans="1:16" ht="14" customHeight="1" x14ac:dyDescent="0.25">
      <c r="A351" s="154"/>
      <c r="B351" s="20">
        <v>8</v>
      </c>
      <c r="C351" s="21" t="s">
        <v>73</v>
      </c>
      <c r="D351" s="18">
        <f t="shared" ref="D351:E355" si="89">L351-L369</f>
        <v>1.9000000000000004</v>
      </c>
      <c r="E351" s="18">
        <f t="shared" si="89"/>
        <v>1.6000000000000005</v>
      </c>
      <c r="F351" s="17">
        <f t="shared" si="83"/>
        <v>0.18749999999999978</v>
      </c>
      <c r="G351" s="17">
        <f t="shared" si="84"/>
        <v>2.5099075297225881E-2</v>
      </c>
      <c r="H351" s="17">
        <f t="shared" si="85"/>
        <v>2.4960998439937598E-2</v>
      </c>
      <c r="J351" s="20">
        <v>8</v>
      </c>
      <c r="K351" s="21" t="s">
        <v>73</v>
      </c>
      <c r="L351" s="18">
        <v>13.1</v>
      </c>
      <c r="M351" s="18">
        <v>9.4</v>
      </c>
      <c r="N351" s="17">
        <f t="shared" si="86"/>
        <v>0.3936170212765957</v>
      </c>
      <c r="O351" s="17">
        <f t="shared" si="87"/>
        <v>2.5681238972750438E-2</v>
      </c>
      <c r="P351" s="17">
        <f t="shared" si="88"/>
        <v>2.2429014554998808E-2</v>
      </c>
    </row>
    <row r="352" spans="1:16" ht="14" customHeight="1" x14ac:dyDescent="0.25">
      <c r="A352" s="154"/>
      <c r="B352" s="20">
        <v>9</v>
      </c>
      <c r="C352" s="21" t="s">
        <v>70</v>
      </c>
      <c r="D352" s="18">
        <f t="shared" si="89"/>
        <v>1.7000000000000011</v>
      </c>
      <c r="E352" s="18">
        <f t="shared" si="89"/>
        <v>1.4000000000000004</v>
      </c>
      <c r="F352" s="17">
        <f t="shared" si="83"/>
        <v>0.21428571428571463</v>
      </c>
      <c r="G352" s="17">
        <f t="shared" si="84"/>
        <v>2.2457067371202115E-2</v>
      </c>
      <c r="H352" s="17">
        <f t="shared" si="85"/>
        <v>2.1840873634945395E-2</v>
      </c>
      <c r="J352" s="20">
        <v>9</v>
      </c>
      <c r="K352" s="21" t="s">
        <v>70</v>
      </c>
      <c r="L352" s="18">
        <v>11.3</v>
      </c>
      <c r="M352" s="18">
        <v>9.5</v>
      </c>
      <c r="N352" s="17">
        <f t="shared" si="86"/>
        <v>0.18947368421052646</v>
      </c>
      <c r="O352" s="17">
        <f t="shared" si="87"/>
        <v>2.2152519113899236E-2</v>
      </c>
      <c r="P352" s="17">
        <f t="shared" si="88"/>
        <v>2.2667621092817943E-2</v>
      </c>
    </row>
    <row r="353" spans="1:16" ht="14" customHeight="1" x14ac:dyDescent="0.25">
      <c r="A353" s="154"/>
      <c r="B353" s="20">
        <v>10</v>
      </c>
      <c r="C353" s="21" t="s">
        <v>129</v>
      </c>
      <c r="D353" s="18">
        <f t="shared" si="89"/>
        <v>1.3000000000000007</v>
      </c>
      <c r="E353" s="18">
        <f t="shared" si="89"/>
        <v>0.90000000000000036</v>
      </c>
      <c r="F353" s="17">
        <f t="shared" si="83"/>
        <v>0.44444444444444464</v>
      </c>
      <c r="G353" s="17">
        <f t="shared" si="84"/>
        <v>1.7173051519154558E-2</v>
      </c>
      <c r="H353" s="17">
        <f t="shared" si="85"/>
        <v>1.4040561622464899E-2</v>
      </c>
      <c r="J353" s="20">
        <v>10</v>
      </c>
      <c r="K353" s="21" t="s">
        <v>129</v>
      </c>
      <c r="L353" s="18">
        <v>10.4</v>
      </c>
      <c r="M353" s="18">
        <v>6.5</v>
      </c>
      <c r="N353" s="17">
        <f t="shared" si="86"/>
        <v>0.60000000000000009</v>
      </c>
      <c r="O353" s="17">
        <f t="shared" si="87"/>
        <v>2.0388159184473634E-2</v>
      </c>
      <c r="P353" s="17">
        <f t="shared" si="88"/>
        <v>1.5509424958243855E-2</v>
      </c>
    </row>
    <row r="354" spans="1:16" ht="14" customHeight="1" x14ac:dyDescent="0.25">
      <c r="A354" s="154"/>
      <c r="B354" s="15"/>
      <c r="C354" s="15" t="s">
        <v>105</v>
      </c>
      <c r="D354" s="18">
        <f t="shared" si="89"/>
        <v>9.2000000000000028</v>
      </c>
      <c r="E354" s="18">
        <f t="shared" si="89"/>
        <v>4.8999999999999986</v>
      </c>
      <c r="F354" s="17">
        <f t="shared" si="83"/>
        <v>0.87755102040816446</v>
      </c>
      <c r="G354" s="17">
        <f t="shared" si="84"/>
        <v>0.12153236459709375</v>
      </c>
      <c r="H354" s="17">
        <f t="shared" si="85"/>
        <v>7.6443057722308846E-2</v>
      </c>
      <c r="J354" s="15"/>
      <c r="K354" s="15" t="s">
        <v>105</v>
      </c>
      <c r="L354" s="18">
        <v>48</v>
      </c>
      <c r="M354" s="18">
        <v>27.2</v>
      </c>
      <c r="N354" s="17">
        <f t="shared" si="86"/>
        <v>0.76470588235294112</v>
      </c>
      <c r="O354" s="17">
        <f t="shared" si="87"/>
        <v>9.4099196236032148E-2</v>
      </c>
      <c r="P354" s="17">
        <f t="shared" si="88"/>
        <v>6.490097828680505E-2</v>
      </c>
    </row>
    <row r="355" spans="1:16" ht="14" customHeight="1" x14ac:dyDescent="0.25">
      <c r="A355" s="154"/>
      <c r="B355" s="15" t="s">
        <v>130</v>
      </c>
      <c r="C355" s="15"/>
      <c r="D355" s="18">
        <f t="shared" si="89"/>
        <v>75.700000000000045</v>
      </c>
      <c r="E355" s="18">
        <f t="shared" si="89"/>
        <v>64.100000000000023</v>
      </c>
      <c r="F355" s="17">
        <f t="shared" si="83"/>
        <v>0.18096723868954778</v>
      </c>
      <c r="G355" s="17">
        <f t="shared" si="84"/>
        <v>1</v>
      </c>
      <c r="H355" s="17">
        <f t="shared" si="85"/>
        <v>1</v>
      </c>
      <c r="J355" s="15" t="s">
        <v>130</v>
      </c>
      <c r="K355" s="15"/>
      <c r="L355" s="18">
        <v>510.1</v>
      </c>
      <c r="M355" s="15">
        <v>419.1</v>
      </c>
      <c r="N355" s="17">
        <f t="shared" si="86"/>
        <v>0.21713194941541403</v>
      </c>
      <c r="O355" s="17">
        <f t="shared" si="87"/>
        <v>1</v>
      </c>
      <c r="P355" s="17">
        <f t="shared" si="88"/>
        <v>1</v>
      </c>
    </row>
    <row r="356" spans="1:16" ht="14" customHeight="1" x14ac:dyDescent="0.25">
      <c r="A356" s="154"/>
    </row>
    <row r="357" spans="1:16" ht="14" customHeight="1" x14ac:dyDescent="0.25">
      <c r="A357" s="154"/>
    </row>
    <row r="358" spans="1:16" ht="14" customHeight="1" x14ac:dyDescent="0.25">
      <c r="A358" s="154"/>
    </row>
    <row r="359" spans="1:16" ht="14" customHeight="1" x14ac:dyDescent="0.25">
      <c r="A359" s="154"/>
    </row>
    <row r="360" spans="1:16" ht="14" customHeight="1" x14ac:dyDescent="0.25">
      <c r="A360" s="154"/>
      <c r="B360" s="11" t="s">
        <v>147</v>
      </c>
      <c r="C360" s="11"/>
      <c r="D360" s="11"/>
      <c r="E360" s="11"/>
      <c r="F360" s="11"/>
      <c r="G360" s="11"/>
      <c r="H360" s="11"/>
      <c r="J360" s="10" t="s">
        <v>148</v>
      </c>
      <c r="K360" s="11"/>
      <c r="L360" s="11"/>
      <c r="M360" s="11"/>
      <c r="N360" s="11"/>
      <c r="O360" s="11"/>
      <c r="P360" s="11"/>
    </row>
    <row r="361" spans="1:16" ht="14" customHeight="1" x14ac:dyDescent="0.25">
      <c r="A361" s="154"/>
      <c r="B361" s="11" t="s">
        <v>96</v>
      </c>
      <c r="C361" s="15" t="s">
        <v>123</v>
      </c>
      <c r="D361" s="19">
        <v>45474</v>
      </c>
      <c r="E361" s="19">
        <v>45108</v>
      </c>
      <c r="F361" s="15" t="s">
        <v>34</v>
      </c>
      <c r="G361" s="15" t="s">
        <v>97</v>
      </c>
      <c r="H361" s="15" t="s">
        <v>124</v>
      </c>
      <c r="J361" s="11" t="s">
        <v>96</v>
      </c>
      <c r="K361" s="15" t="s">
        <v>123</v>
      </c>
      <c r="L361" s="19" t="s">
        <v>149</v>
      </c>
      <c r="M361" s="19" t="s">
        <v>150</v>
      </c>
      <c r="N361" s="15" t="s">
        <v>34</v>
      </c>
      <c r="O361" s="15" t="s">
        <v>97</v>
      </c>
      <c r="P361" s="15" t="s">
        <v>124</v>
      </c>
    </row>
    <row r="362" spans="1:16" ht="14" customHeight="1" x14ac:dyDescent="0.25">
      <c r="A362" s="154"/>
      <c r="B362" s="20">
        <v>1</v>
      </c>
      <c r="C362" s="21" t="s">
        <v>68</v>
      </c>
      <c r="D362" s="18">
        <f>L362-L380</f>
        <v>25.600000000000023</v>
      </c>
      <c r="E362" s="18">
        <f>M362-M380</f>
        <v>19.5</v>
      </c>
      <c r="F362" s="17">
        <f>D362/E362-1</f>
        <v>0.31282051282051393</v>
      </c>
      <c r="G362" s="17">
        <f>D362/$D$373</f>
        <v>0.36676217765043034</v>
      </c>
      <c r="H362" s="17">
        <f>E362/$E$373</f>
        <v>0.342706502636204</v>
      </c>
      <c r="J362" s="20">
        <v>1</v>
      </c>
      <c r="K362" s="21" t="s">
        <v>68</v>
      </c>
      <c r="L362" s="18">
        <v>163.30000000000001</v>
      </c>
      <c r="M362" s="18">
        <v>125.8</v>
      </c>
      <c r="N362" s="17">
        <f>L362/M362-1</f>
        <v>0.29809220985691587</v>
      </c>
      <c r="O362" s="17">
        <f>L362/$L$373</f>
        <v>0.37592081031307556</v>
      </c>
      <c r="P362" s="17">
        <f>M362/$M$373</f>
        <v>0.35436619718309859</v>
      </c>
    </row>
    <row r="363" spans="1:16" ht="14" customHeight="1" x14ac:dyDescent="0.25">
      <c r="A363" s="154"/>
      <c r="B363" s="20">
        <v>2</v>
      </c>
      <c r="C363" s="21" t="s">
        <v>69</v>
      </c>
      <c r="D363" s="18">
        <f>L363-L381</f>
        <v>12.400000000000006</v>
      </c>
      <c r="E363" s="18">
        <f t="shared" ref="E363:E364" si="90">M363-M381</f>
        <v>9.6000000000000014</v>
      </c>
      <c r="F363" s="17">
        <f t="shared" ref="F363:F373" si="91">D363/E363-1</f>
        <v>0.29166666666666696</v>
      </c>
      <c r="G363" s="17">
        <f t="shared" ref="G363:G373" si="92">D363/$D$373</f>
        <v>0.17765042979942713</v>
      </c>
      <c r="H363" s="17">
        <f t="shared" ref="H363:H373" si="93">E363/$E$373</f>
        <v>0.16871704745166968</v>
      </c>
      <c r="J363" s="20">
        <v>2</v>
      </c>
      <c r="K363" s="21" t="s">
        <v>69</v>
      </c>
      <c r="L363" s="18">
        <v>69.900000000000006</v>
      </c>
      <c r="M363" s="18">
        <v>56.7</v>
      </c>
      <c r="N363" s="17">
        <f t="shared" ref="N363:N373" si="94">L363/M363-1</f>
        <v>0.23280423280423279</v>
      </c>
      <c r="O363" s="17">
        <f t="shared" ref="O363:O373" si="95">L363/$L$373</f>
        <v>0.16091160220994477</v>
      </c>
      <c r="P363" s="17">
        <f t="shared" ref="P363:P373" si="96">M363/$M$373</f>
        <v>0.15971830985915494</v>
      </c>
    </row>
    <row r="364" spans="1:16" ht="14" customHeight="1" x14ac:dyDescent="0.25">
      <c r="A364" s="154"/>
      <c r="B364" s="20">
        <v>3</v>
      </c>
      <c r="C364" s="21" t="s">
        <v>127</v>
      </c>
      <c r="D364" s="18">
        <f>L364-L382</f>
        <v>7</v>
      </c>
      <c r="E364" s="18">
        <f t="shared" si="90"/>
        <v>6.8000000000000043</v>
      </c>
      <c r="F364" s="17">
        <f t="shared" si="91"/>
        <v>2.9411764705881804E-2</v>
      </c>
      <c r="G364" s="17">
        <f t="shared" si="92"/>
        <v>0.10028653295128946</v>
      </c>
      <c r="H364" s="17">
        <f t="shared" si="93"/>
        <v>0.11950790861159942</v>
      </c>
      <c r="J364" s="20">
        <v>3</v>
      </c>
      <c r="K364" s="21" t="s">
        <v>127</v>
      </c>
      <c r="L364" s="18">
        <v>53.9</v>
      </c>
      <c r="M364" s="22">
        <v>51.2</v>
      </c>
      <c r="N364" s="17">
        <f t="shared" si="94"/>
        <v>5.2734375E-2</v>
      </c>
      <c r="O364" s="17">
        <f t="shared" si="95"/>
        <v>0.1240791896869245</v>
      </c>
      <c r="P364" s="17">
        <f t="shared" si="96"/>
        <v>0.14422535211267606</v>
      </c>
    </row>
    <row r="365" spans="1:16" ht="14" customHeight="1" x14ac:dyDescent="0.25">
      <c r="A365" s="154"/>
      <c r="B365" s="20">
        <v>4</v>
      </c>
      <c r="C365" s="21" t="s">
        <v>71</v>
      </c>
      <c r="D365" s="18">
        <f>L366-L384</f>
        <v>3.6999999999999993</v>
      </c>
      <c r="E365" s="18">
        <f>M366-M384</f>
        <v>3.7000000000000011</v>
      </c>
      <c r="F365" s="17">
        <f t="shared" si="91"/>
        <v>0</v>
      </c>
      <c r="G365" s="17">
        <f t="shared" si="92"/>
        <v>5.3008595988538708E-2</v>
      </c>
      <c r="H365" s="17">
        <f t="shared" si="93"/>
        <v>6.5026362038664368E-2</v>
      </c>
      <c r="J365" s="20">
        <v>4</v>
      </c>
      <c r="K365" s="21" t="s">
        <v>25</v>
      </c>
      <c r="L365" s="18">
        <v>20.5</v>
      </c>
      <c r="M365" s="18">
        <v>19.600000000000001</v>
      </c>
      <c r="N365" s="17">
        <f t="shared" si="94"/>
        <v>4.5918367346938771E-2</v>
      </c>
      <c r="O365" s="17">
        <f t="shared" si="95"/>
        <v>4.719152854511971E-2</v>
      </c>
      <c r="P365" s="17">
        <f t="shared" si="96"/>
        <v>5.5211267605633808E-2</v>
      </c>
    </row>
    <row r="366" spans="1:16" ht="14" customHeight="1" x14ac:dyDescent="0.25">
      <c r="A366" s="154"/>
      <c r="B366" s="20">
        <v>5</v>
      </c>
      <c r="C366" s="21" t="s">
        <v>25</v>
      </c>
      <c r="D366" s="18">
        <f>L365-L383</f>
        <v>3.1999999999999993</v>
      </c>
      <c r="E366" s="18">
        <f>M365-M383</f>
        <v>3.2000000000000028</v>
      </c>
      <c r="F366" s="17">
        <f t="shared" si="91"/>
        <v>-1.1102230246251565E-15</v>
      </c>
      <c r="G366" s="17">
        <f t="shared" si="92"/>
        <v>4.5845272206303744E-2</v>
      </c>
      <c r="H366" s="17">
        <f t="shared" si="93"/>
        <v>5.6239015817223272E-2</v>
      </c>
      <c r="J366" s="20">
        <v>5</v>
      </c>
      <c r="K366" s="21" t="s">
        <v>71</v>
      </c>
      <c r="L366" s="18">
        <v>20.399999999999999</v>
      </c>
      <c r="M366" s="18">
        <v>16.100000000000001</v>
      </c>
      <c r="N366" s="17">
        <f t="shared" si="94"/>
        <v>0.26708074534161463</v>
      </c>
      <c r="O366" s="17">
        <f t="shared" si="95"/>
        <v>4.6961325966850827E-2</v>
      </c>
      <c r="P366" s="17">
        <f t="shared" si="96"/>
        <v>4.5352112676056343E-2</v>
      </c>
    </row>
    <row r="367" spans="1:16" ht="14" customHeight="1" x14ac:dyDescent="0.25">
      <c r="A367" s="154"/>
      <c r="B367" s="20">
        <v>6</v>
      </c>
      <c r="C367" s="21" t="s">
        <v>72</v>
      </c>
      <c r="D367" s="18">
        <f>L368-L386</f>
        <v>2.6000000000000014</v>
      </c>
      <c r="E367" s="18">
        <f>M368-M386</f>
        <v>3.5999999999999979</v>
      </c>
      <c r="F367" s="17">
        <f t="shared" si="91"/>
        <v>-0.2777777777777769</v>
      </c>
      <c r="G367" s="17">
        <f t="shared" si="92"/>
        <v>3.724928366762182E-2</v>
      </c>
      <c r="H367" s="17">
        <f t="shared" si="93"/>
        <v>6.3268892794376086E-2</v>
      </c>
      <c r="J367" s="20">
        <v>6</v>
      </c>
      <c r="K367" s="21" t="s">
        <v>128</v>
      </c>
      <c r="L367" s="18">
        <v>18.8</v>
      </c>
      <c r="M367" s="18">
        <v>16.600000000000001</v>
      </c>
      <c r="N367" s="17">
        <f t="shared" si="94"/>
        <v>0.13253012048192758</v>
      </c>
      <c r="O367" s="17">
        <f t="shared" si="95"/>
        <v>4.3278084714548803E-2</v>
      </c>
      <c r="P367" s="17">
        <f t="shared" si="96"/>
        <v>4.6760563380281693E-2</v>
      </c>
    </row>
    <row r="368" spans="1:16" ht="14" customHeight="1" x14ac:dyDescent="0.25">
      <c r="A368" s="154"/>
      <c r="B368" s="20">
        <v>7</v>
      </c>
      <c r="C368" s="21" t="s">
        <v>128</v>
      </c>
      <c r="D368" s="18">
        <f>L367-L385</f>
        <v>2.4000000000000021</v>
      </c>
      <c r="E368" s="18">
        <f>M367-M385</f>
        <v>2.6000000000000014</v>
      </c>
      <c r="F368" s="17">
        <f t="shared" si="91"/>
        <v>-7.692307692307665E-2</v>
      </c>
      <c r="G368" s="17">
        <f t="shared" si="92"/>
        <v>3.438395415472785E-2</v>
      </c>
      <c r="H368" s="17">
        <f t="shared" si="93"/>
        <v>4.5694200351493894E-2</v>
      </c>
      <c r="J368" s="20">
        <v>7</v>
      </c>
      <c r="K368" s="21" t="s">
        <v>72</v>
      </c>
      <c r="L368" s="18">
        <v>18.8</v>
      </c>
      <c r="M368" s="18">
        <v>25.2</v>
      </c>
      <c r="N368" s="17">
        <f t="shared" si="94"/>
        <v>-0.25396825396825395</v>
      </c>
      <c r="O368" s="17">
        <f t="shared" si="95"/>
        <v>4.3278084714548803E-2</v>
      </c>
      <c r="P368" s="17">
        <f t="shared" si="96"/>
        <v>7.0985915492957741E-2</v>
      </c>
    </row>
    <row r="369" spans="1:16" ht="14" customHeight="1" x14ac:dyDescent="0.25">
      <c r="A369" s="154"/>
      <c r="B369" s="20">
        <v>8</v>
      </c>
      <c r="C369" s="21" t="s">
        <v>73</v>
      </c>
      <c r="D369" s="18">
        <f>L369-L387</f>
        <v>2.1999999999999993</v>
      </c>
      <c r="E369" s="18">
        <f>M369-M387</f>
        <v>1.2999999999999998</v>
      </c>
      <c r="F369" s="17">
        <f t="shared" si="91"/>
        <v>0.69230769230769207</v>
      </c>
      <c r="G369" s="17">
        <f t="shared" si="92"/>
        <v>3.1518624641833824E-2</v>
      </c>
      <c r="H369" s="17">
        <f t="shared" si="93"/>
        <v>2.284710017574693E-2</v>
      </c>
      <c r="J369" s="20">
        <v>8</v>
      </c>
      <c r="K369" s="21" t="s">
        <v>73</v>
      </c>
      <c r="L369" s="18">
        <v>11.2</v>
      </c>
      <c r="M369" s="18">
        <v>7.8</v>
      </c>
      <c r="N369" s="17">
        <f t="shared" si="94"/>
        <v>0.4358974358974359</v>
      </c>
      <c r="O369" s="17">
        <f t="shared" si="95"/>
        <v>2.5782688766114181E-2</v>
      </c>
      <c r="P369" s="17">
        <f t="shared" si="96"/>
        <v>2.1971830985915493E-2</v>
      </c>
    </row>
    <row r="370" spans="1:16" ht="14" customHeight="1" x14ac:dyDescent="0.25">
      <c r="A370" s="154"/>
      <c r="B370" s="20">
        <v>9</v>
      </c>
      <c r="C370" s="21" t="s">
        <v>129</v>
      </c>
      <c r="D370" s="18">
        <f>L371-L389</f>
        <v>1.5999999999999996</v>
      </c>
      <c r="E370" s="18">
        <f>M371-M389</f>
        <v>1</v>
      </c>
      <c r="F370" s="17">
        <f t="shared" si="91"/>
        <v>0.59999999999999964</v>
      </c>
      <c r="G370" s="17">
        <f t="shared" si="92"/>
        <v>2.2922636103151872E-2</v>
      </c>
      <c r="H370" s="17">
        <f t="shared" si="93"/>
        <v>1.7574692442882258E-2</v>
      </c>
      <c r="J370" s="20">
        <v>9</v>
      </c>
      <c r="K370" s="21" t="s">
        <v>70</v>
      </c>
      <c r="L370" s="18">
        <v>9.6</v>
      </c>
      <c r="M370" s="18">
        <v>8.1</v>
      </c>
      <c r="N370" s="17">
        <f t="shared" si="94"/>
        <v>0.18518518518518512</v>
      </c>
      <c r="O370" s="17">
        <f t="shared" si="95"/>
        <v>2.2099447513812154E-2</v>
      </c>
      <c r="P370" s="17">
        <f t="shared" si="96"/>
        <v>2.2816901408450704E-2</v>
      </c>
    </row>
    <row r="371" spans="1:16" ht="14" customHeight="1" x14ac:dyDescent="0.25">
      <c r="A371" s="154"/>
      <c r="B371" s="20">
        <v>10</v>
      </c>
      <c r="C371" s="21" t="s">
        <v>70</v>
      </c>
      <c r="D371" s="18">
        <f>L370-L388</f>
        <v>1.7999999999999998</v>
      </c>
      <c r="E371" s="18">
        <f>M370-M388</f>
        <v>1.5999999999999996</v>
      </c>
      <c r="F371" s="17">
        <f t="shared" si="91"/>
        <v>0.12500000000000022</v>
      </c>
      <c r="G371" s="17">
        <f t="shared" si="92"/>
        <v>2.578796561604586E-2</v>
      </c>
      <c r="H371" s="17">
        <f t="shared" si="93"/>
        <v>2.8119507908611605E-2</v>
      </c>
      <c r="J371" s="20">
        <v>10</v>
      </c>
      <c r="K371" s="21" t="s">
        <v>129</v>
      </c>
      <c r="L371" s="18">
        <v>9.1</v>
      </c>
      <c r="M371" s="18">
        <v>5.6</v>
      </c>
      <c r="N371" s="17">
        <f t="shared" si="94"/>
        <v>0.625</v>
      </c>
      <c r="O371" s="17">
        <f t="shared" si="95"/>
        <v>2.094843462246777E-2</v>
      </c>
      <c r="P371" s="17">
        <f t="shared" si="96"/>
        <v>1.5774647887323943E-2</v>
      </c>
    </row>
    <row r="372" spans="1:16" ht="14" customHeight="1" x14ac:dyDescent="0.25">
      <c r="A372" s="154"/>
      <c r="B372" s="15"/>
      <c r="C372" s="15" t="s">
        <v>105</v>
      </c>
      <c r="D372" s="18">
        <f>D373-SUM(D362:D371)</f>
        <v>7.299999999999919</v>
      </c>
      <c r="E372" s="18">
        <f>E373-SUM(E362:E371)</f>
        <v>3.9999999999999716</v>
      </c>
      <c r="F372" s="17">
        <f t="shared" si="91"/>
        <v>0.82499999999999263</v>
      </c>
      <c r="G372" s="17">
        <f t="shared" si="92"/>
        <v>0.10458452722062928</v>
      </c>
      <c r="H372" s="17">
        <f t="shared" si="93"/>
        <v>7.0298769771528533E-2</v>
      </c>
      <c r="J372" s="15"/>
      <c r="K372" s="15" t="s">
        <v>105</v>
      </c>
      <c r="L372" s="18">
        <v>38.799999999999997</v>
      </c>
      <c r="M372" s="18">
        <v>22.3</v>
      </c>
      <c r="N372" s="17">
        <f t="shared" si="94"/>
        <v>0.73991031390134521</v>
      </c>
      <c r="O372" s="17">
        <f t="shared" si="95"/>
        <v>8.9318600368324119E-2</v>
      </c>
      <c r="P372" s="17">
        <f t="shared" si="96"/>
        <v>6.2816901408450712E-2</v>
      </c>
    </row>
    <row r="373" spans="1:16" ht="14" customHeight="1" x14ac:dyDescent="0.25">
      <c r="A373" s="154"/>
      <c r="B373" s="15" t="s">
        <v>130</v>
      </c>
      <c r="C373" s="15"/>
      <c r="D373" s="18">
        <f>L373-L391</f>
        <v>69.799999999999955</v>
      </c>
      <c r="E373" s="18">
        <f>M373-M391</f>
        <v>56.899999999999977</v>
      </c>
      <c r="F373" s="17">
        <f t="shared" si="91"/>
        <v>0.2267135325131806</v>
      </c>
      <c r="G373" s="17">
        <f t="shared" si="92"/>
        <v>1</v>
      </c>
      <c r="H373" s="17">
        <f t="shared" si="93"/>
        <v>1</v>
      </c>
      <c r="J373" s="15" t="s">
        <v>130</v>
      </c>
      <c r="K373" s="15"/>
      <c r="L373" s="18">
        <v>434.4</v>
      </c>
      <c r="M373" s="15">
        <v>355</v>
      </c>
      <c r="N373" s="17">
        <f t="shared" si="94"/>
        <v>0.2236619718309858</v>
      </c>
      <c r="O373" s="17">
        <f t="shared" si="95"/>
        <v>1</v>
      </c>
      <c r="P373" s="17">
        <f t="shared" si="96"/>
        <v>1</v>
      </c>
    </row>
    <row r="374" spans="1:16" ht="14" customHeight="1" x14ac:dyDescent="0.25">
      <c r="A374" s="154"/>
    </row>
    <row r="375" spans="1:16" ht="14" customHeight="1" x14ac:dyDescent="0.25">
      <c r="A375" s="154"/>
    </row>
    <row r="376" spans="1:16" ht="14" customHeight="1" x14ac:dyDescent="0.25">
      <c r="A376" s="154"/>
    </row>
    <row r="377" spans="1:16" ht="14" customHeight="1" x14ac:dyDescent="0.25">
      <c r="A377" s="154"/>
    </row>
    <row r="378" spans="1:16" ht="14" customHeight="1" x14ac:dyDescent="0.25">
      <c r="A378" s="154"/>
      <c r="B378" s="11" t="s">
        <v>151</v>
      </c>
      <c r="C378" s="11"/>
      <c r="D378" s="11"/>
      <c r="E378" s="11"/>
      <c r="F378" s="11"/>
      <c r="G378" s="11"/>
      <c r="H378" s="11"/>
      <c r="J378" s="10" t="s">
        <v>152</v>
      </c>
      <c r="K378" s="11"/>
      <c r="L378" s="11"/>
      <c r="M378" s="11"/>
      <c r="N378" s="11"/>
      <c r="O378" s="11"/>
      <c r="P378" s="11"/>
    </row>
    <row r="379" spans="1:16" ht="14" customHeight="1" x14ac:dyDescent="0.25">
      <c r="A379" s="154"/>
      <c r="B379" s="11" t="s">
        <v>96</v>
      </c>
      <c r="C379" s="15" t="s">
        <v>123</v>
      </c>
      <c r="D379" s="19">
        <v>45444</v>
      </c>
      <c r="E379" s="19">
        <v>45078</v>
      </c>
      <c r="F379" s="15" t="s">
        <v>34</v>
      </c>
      <c r="G379" s="15" t="s">
        <v>97</v>
      </c>
      <c r="H379" s="15" t="s">
        <v>124</v>
      </c>
      <c r="J379" s="11" t="s">
        <v>96</v>
      </c>
      <c r="K379" s="15" t="s">
        <v>123</v>
      </c>
      <c r="L379" s="19" t="s">
        <v>153</v>
      </c>
      <c r="M379" s="19" t="s">
        <v>154</v>
      </c>
      <c r="N379" s="15" t="s">
        <v>34</v>
      </c>
      <c r="O379" s="15" t="s">
        <v>97</v>
      </c>
      <c r="P379" s="15" t="s">
        <v>124</v>
      </c>
    </row>
    <row r="380" spans="1:16" ht="14" customHeight="1" x14ac:dyDescent="0.25">
      <c r="A380" s="154"/>
      <c r="B380" s="20">
        <v>1</v>
      </c>
      <c r="C380" s="21" t="s">
        <v>68</v>
      </c>
      <c r="D380" s="18">
        <f>L380-L397</f>
        <v>30.699999999999989</v>
      </c>
      <c r="E380" s="18">
        <f>M380-M397</f>
        <v>24.700000000000003</v>
      </c>
      <c r="F380" s="17">
        <f>D380/E380-1</f>
        <v>0.24291497975708443</v>
      </c>
      <c r="G380" s="17">
        <f>D380/$D$391</f>
        <v>0.38762626262626226</v>
      </c>
      <c r="H380" s="17">
        <f>E380/$E$391</f>
        <v>0.3742424242424241</v>
      </c>
      <c r="J380" s="20">
        <v>1</v>
      </c>
      <c r="K380" s="21" t="s">
        <v>68</v>
      </c>
      <c r="L380" s="18">
        <v>137.69999999999999</v>
      </c>
      <c r="M380" s="18">
        <v>106.3</v>
      </c>
      <c r="N380" s="17">
        <f>L380/M380-1</f>
        <v>0.29539040451552201</v>
      </c>
      <c r="O380" s="17">
        <f>L380/$L$391</f>
        <v>0.37767416346681287</v>
      </c>
      <c r="P380" s="17">
        <f>M380/$M$391</f>
        <v>0.35659174773565916</v>
      </c>
    </row>
    <row r="381" spans="1:16" ht="14" customHeight="1" x14ac:dyDescent="0.25">
      <c r="A381" s="154"/>
      <c r="B381" s="20">
        <v>2</v>
      </c>
      <c r="C381" s="21" t="s">
        <v>69</v>
      </c>
      <c r="D381" s="18">
        <f t="shared" ref="D381:E381" si="97">L381-L398</f>
        <v>12.600000000000001</v>
      </c>
      <c r="E381" s="18">
        <f t="shared" si="97"/>
        <v>10.100000000000001</v>
      </c>
      <c r="F381" s="17">
        <f t="shared" ref="F381:F391" si="98">D381/E381-1</f>
        <v>0.24752475247524752</v>
      </c>
      <c r="G381" s="17">
        <f t="shared" ref="G381:G391" si="99">D381/$D$391</f>
        <v>0.15909090909090901</v>
      </c>
      <c r="H381" s="17">
        <f t="shared" ref="H381:H391" si="100">E381/$E$391</f>
        <v>0.15303030303030299</v>
      </c>
      <c r="J381" s="20">
        <v>2</v>
      </c>
      <c r="K381" s="21" t="s">
        <v>69</v>
      </c>
      <c r="L381" s="18">
        <v>57.5</v>
      </c>
      <c r="M381" s="18">
        <v>47.1</v>
      </c>
      <c r="N381" s="17">
        <f t="shared" ref="N381:N391" si="101">L381/M381-1</f>
        <v>0.22080679405520165</v>
      </c>
      <c r="O381" s="17">
        <f t="shared" ref="O381:O391" si="102">L381/$L$391</f>
        <v>0.15770707624794295</v>
      </c>
      <c r="P381" s="17">
        <f t="shared" ref="P381:P391" si="103">M381/$M$391</f>
        <v>0.15800067091580006</v>
      </c>
    </row>
    <row r="382" spans="1:16" ht="14" customHeight="1" x14ac:dyDescent="0.25">
      <c r="A382" s="154"/>
      <c r="B382" s="20">
        <v>3</v>
      </c>
      <c r="C382" s="21" t="s">
        <v>127</v>
      </c>
      <c r="D382" s="18">
        <f>L382-L399</f>
        <v>11</v>
      </c>
      <c r="E382" s="18">
        <f>M382-M399</f>
        <v>10.399999999999999</v>
      </c>
      <c r="F382" s="17">
        <f t="shared" si="98"/>
        <v>5.7692307692307931E-2</v>
      </c>
      <c r="G382" s="17">
        <f t="shared" si="99"/>
        <v>0.13888888888888881</v>
      </c>
      <c r="H382" s="17">
        <f t="shared" si="100"/>
        <v>0.15757575757575748</v>
      </c>
      <c r="J382" s="20">
        <v>3</v>
      </c>
      <c r="K382" s="21" t="s">
        <v>127</v>
      </c>
      <c r="L382" s="18">
        <v>46.9</v>
      </c>
      <c r="M382" s="22">
        <v>44.4</v>
      </c>
      <c r="N382" s="17">
        <f t="shared" si="101"/>
        <v>5.6306306306306286E-2</v>
      </c>
      <c r="O382" s="17">
        <f t="shared" si="102"/>
        <v>0.12863411958310475</v>
      </c>
      <c r="P382" s="17">
        <f t="shared" si="103"/>
        <v>0.14894330761489433</v>
      </c>
    </row>
    <row r="383" spans="1:16" ht="14" customHeight="1" x14ac:dyDescent="0.25">
      <c r="A383" s="154"/>
      <c r="B383" s="20">
        <v>4</v>
      </c>
      <c r="C383" s="21" t="s">
        <v>71</v>
      </c>
      <c r="D383" s="18">
        <f>L384-L403</f>
        <v>3.6999999999999993</v>
      </c>
      <c r="E383" s="18">
        <f>M384-M403</f>
        <v>2.9000000000000004</v>
      </c>
      <c r="F383" s="17">
        <f t="shared" si="98"/>
        <v>0.2758620689655169</v>
      </c>
      <c r="G383" s="17">
        <f t="shared" si="99"/>
        <v>4.6717171717171678E-2</v>
      </c>
      <c r="H383" s="17">
        <f t="shared" si="100"/>
        <v>4.3939393939393924E-2</v>
      </c>
      <c r="J383" s="20">
        <v>4</v>
      </c>
      <c r="K383" s="21" t="s">
        <v>25</v>
      </c>
      <c r="L383" s="18">
        <v>17.3</v>
      </c>
      <c r="M383" s="18">
        <v>16.399999999999999</v>
      </c>
      <c r="N383" s="17">
        <f t="shared" si="101"/>
        <v>5.4878048780487854E-2</v>
      </c>
      <c r="O383" s="17">
        <f t="shared" si="102"/>
        <v>4.7449259462424571E-2</v>
      </c>
      <c r="P383" s="17">
        <f t="shared" si="103"/>
        <v>5.5015095605501503E-2</v>
      </c>
    </row>
    <row r="384" spans="1:16" ht="14" customHeight="1" x14ac:dyDescent="0.25">
      <c r="A384" s="154"/>
      <c r="B384" s="20">
        <v>5</v>
      </c>
      <c r="C384" s="21" t="s">
        <v>25</v>
      </c>
      <c r="D384" s="18">
        <f>L383-L400</f>
        <v>3.4000000000000004</v>
      </c>
      <c r="E384" s="18">
        <f>M383-M400</f>
        <v>2.9999999999999982</v>
      </c>
      <c r="F384" s="17">
        <f t="shared" si="98"/>
        <v>0.13333333333333419</v>
      </c>
      <c r="G384" s="17">
        <f t="shared" si="99"/>
        <v>4.2929292929292907E-2</v>
      </c>
      <c r="H384" s="17">
        <f t="shared" si="100"/>
        <v>4.5454545454545407E-2</v>
      </c>
      <c r="J384" s="20">
        <v>5</v>
      </c>
      <c r="K384" s="21" t="s">
        <v>71</v>
      </c>
      <c r="L384" s="18">
        <v>16.7</v>
      </c>
      <c r="M384" s="18">
        <v>12.4</v>
      </c>
      <c r="N384" s="17">
        <f t="shared" si="101"/>
        <v>0.34677419354838701</v>
      </c>
      <c r="O384" s="17">
        <f t="shared" si="102"/>
        <v>4.5803620405924297E-2</v>
      </c>
      <c r="P384" s="17">
        <f t="shared" si="103"/>
        <v>4.1596779604159674E-2</v>
      </c>
    </row>
    <row r="385" spans="1:16" ht="14" customHeight="1" x14ac:dyDescent="0.25">
      <c r="A385" s="154"/>
      <c r="B385" s="20">
        <v>6</v>
      </c>
      <c r="C385" s="21" t="s">
        <v>72</v>
      </c>
      <c r="D385" s="18">
        <f>L386-L402</f>
        <v>2.7999999999999989</v>
      </c>
      <c r="E385" s="18">
        <f>M386-M402</f>
        <v>3.3000000000000007</v>
      </c>
      <c r="F385" s="17">
        <f t="shared" si="98"/>
        <v>-0.15151515151515205</v>
      </c>
      <c r="G385" s="17">
        <f t="shared" si="99"/>
        <v>3.5353535353535318E-2</v>
      </c>
      <c r="H385" s="17">
        <f t="shared" si="100"/>
        <v>4.9999999999999989E-2</v>
      </c>
      <c r="J385" s="20">
        <v>6</v>
      </c>
      <c r="K385" s="21" t="s">
        <v>128</v>
      </c>
      <c r="L385" s="18">
        <v>16.399999999999999</v>
      </c>
      <c r="M385" s="18">
        <v>14</v>
      </c>
      <c r="N385" s="17">
        <f t="shared" si="101"/>
        <v>0.17142857142857126</v>
      </c>
      <c r="O385" s="17">
        <f t="shared" si="102"/>
        <v>4.4980800877674157E-2</v>
      </c>
      <c r="P385" s="17">
        <f t="shared" si="103"/>
        <v>4.6964106004696408E-2</v>
      </c>
    </row>
    <row r="386" spans="1:16" ht="14" customHeight="1" x14ac:dyDescent="0.25">
      <c r="A386" s="154"/>
      <c r="B386" s="20">
        <v>7</v>
      </c>
      <c r="C386" s="21" t="s">
        <v>128</v>
      </c>
      <c r="D386" s="18">
        <f>L385-L401</f>
        <v>2.6999999999999993</v>
      </c>
      <c r="E386" s="18">
        <f>M385-M401</f>
        <v>3.1999999999999993</v>
      </c>
      <c r="F386" s="17">
        <f t="shared" si="98"/>
        <v>-0.15625</v>
      </c>
      <c r="G386" s="17">
        <f t="shared" si="99"/>
        <v>3.4090909090909061E-2</v>
      </c>
      <c r="H386" s="17">
        <f t="shared" si="100"/>
        <v>4.848484848484845E-2</v>
      </c>
      <c r="J386" s="20">
        <v>7</v>
      </c>
      <c r="K386" s="21" t="s">
        <v>72</v>
      </c>
      <c r="L386" s="18">
        <v>16.2</v>
      </c>
      <c r="M386" s="18">
        <v>21.6</v>
      </c>
      <c r="N386" s="17">
        <f t="shared" si="101"/>
        <v>-0.25000000000000011</v>
      </c>
      <c r="O386" s="17">
        <f t="shared" si="102"/>
        <v>4.4432254525507399E-2</v>
      </c>
      <c r="P386" s="17">
        <f t="shared" si="103"/>
        <v>7.2458906407245893E-2</v>
      </c>
    </row>
    <row r="387" spans="1:16" ht="14" customHeight="1" x14ac:dyDescent="0.25">
      <c r="A387" s="154"/>
      <c r="B387" s="20">
        <v>8</v>
      </c>
      <c r="C387" s="21" t="s">
        <v>73</v>
      </c>
      <c r="D387" s="18">
        <f>L387-L404</f>
        <v>2</v>
      </c>
      <c r="E387" s="18">
        <f>M387-M404</f>
        <v>1.5</v>
      </c>
      <c r="F387" s="17">
        <f t="shared" si="98"/>
        <v>0.33333333333333326</v>
      </c>
      <c r="G387" s="17">
        <f t="shared" si="99"/>
        <v>2.5252525252525238E-2</v>
      </c>
      <c r="H387" s="17">
        <f t="shared" si="100"/>
        <v>2.2727272727272717E-2</v>
      </c>
      <c r="J387" s="20">
        <v>8</v>
      </c>
      <c r="K387" s="21" t="s">
        <v>73</v>
      </c>
      <c r="L387" s="18">
        <v>9</v>
      </c>
      <c r="M387" s="18">
        <v>6.5</v>
      </c>
      <c r="N387" s="17">
        <f t="shared" si="101"/>
        <v>0.38461538461538458</v>
      </c>
      <c r="O387" s="17">
        <f t="shared" si="102"/>
        <v>2.4684585847504114E-2</v>
      </c>
      <c r="P387" s="17">
        <f t="shared" si="103"/>
        <v>2.1804763502180476E-2</v>
      </c>
    </row>
    <row r="388" spans="1:16" ht="14" customHeight="1" x14ac:dyDescent="0.25">
      <c r="A388" s="154"/>
      <c r="B388" s="20">
        <v>9</v>
      </c>
      <c r="C388" s="21" t="s">
        <v>129</v>
      </c>
      <c r="D388" s="18">
        <f>L389-L406</f>
        <v>1.5999999999999996</v>
      </c>
      <c r="E388" s="18">
        <f>M389-M406</f>
        <v>0.99999999999999956</v>
      </c>
      <c r="F388" s="17">
        <f t="shared" si="98"/>
        <v>0.60000000000000031</v>
      </c>
      <c r="G388" s="17">
        <f t="shared" si="99"/>
        <v>2.0202020202020186E-2</v>
      </c>
      <c r="H388" s="17">
        <f t="shared" si="100"/>
        <v>1.5151515151515138E-2</v>
      </c>
      <c r="J388" s="20">
        <v>9</v>
      </c>
      <c r="K388" s="21" t="s">
        <v>70</v>
      </c>
      <c r="L388" s="18">
        <v>7.8</v>
      </c>
      <c r="M388" s="18">
        <v>6.5</v>
      </c>
      <c r="N388" s="17">
        <f t="shared" si="101"/>
        <v>0.19999999999999996</v>
      </c>
      <c r="O388" s="17">
        <f t="shared" si="102"/>
        <v>2.1393307734503562E-2</v>
      </c>
      <c r="P388" s="17">
        <f t="shared" si="103"/>
        <v>2.1804763502180476E-2</v>
      </c>
    </row>
    <row r="389" spans="1:16" ht="14" customHeight="1" x14ac:dyDescent="0.25">
      <c r="A389" s="154"/>
      <c r="B389" s="20">
        <v>10</v>
      </c>
      <c r="C389" s="21" t="s">
        <v>70</v>
      </c>
      <c r="D389" s="18">
        <f>L388-L405</f>
        <v>1.3999999999999995</v>
      </c>
      <c r="E389" s="18">
        <f>M388-M405</f>
        <v>1.2999999999999998</v>
      </c>
      <c r="F389" s="17">
        <f t="shared" si="98"/>
        <v>7.692307692307665E-2</v>
      </c>
      <c r="G389" s="17">
        <f t="shared" si="99"/>
        <v>1.7676767676767659E-2</v>
      </c>
      <c r="H389" s="17">
        <f t="shared" si="100"/>
        <v>1.9696969696969685E-2</v>
      </c>
      <c r="J389" s="20">
        <v>10</v>
      </c>
      <c r="K389" s="21" t="s">
        <v>129</v>
      </c>
      <c r="L389" s="18">
        <v>7.5</v>
      </c>
      <c r="M389" s="18">
        <v>4.5999999999999996</v>
      </c>
      <c r="N389" s="17">
        <f t="shared" si="101"/>
        <v>0.63043478260869579</v>
      </c>
      <c r="O389" s="17">
        <f t="shared" si="102"/>
        <v>2.0570488206253425E-2</v>
      </c>
      <c r="P389" s="17">
        <f t="shared" si="103"/>
        <v>1.5431063401543104E-2</v>
      </c>
    </row>
    <row r="390" spans="1:16" ht="14" customHeight="1" x14ac:dyDescent="0.25">
      <c r="A390" s="154"/>
      <c r="B390" s="15"/>
      <c r="C390" s="15" t="s">
        <v>105</v>
      </c>
      <c r="D390" s="18">
        <f>L390-L407</f>
        <v>7.3000000000000007</v>
      </c>
      <c r="E390" s="18">
        <f>M390-M407</f>
        <v>4.5000000000000018</v>
      </c>
      <c r="F390" s="17">
        <f t="shared" si="98"/>
        <v>0.62222222222222179</v>
      </c>
      <c r="G390" s="17">
        <f t="shared" si="99"/>
        <v>9.2171717171717127E-2</v>
      </c>
      <c r="H390" s="17">
        <f t="shared" si="100"/>
        <v>6.8181818181818177E-2</v>
      </c>
      <c r="J390" s="15"/>
      <c r="K390" s="15" t="s">
        <v>105</v>
      </c>
      <c r="L390" s="18">
        <v>31.6</v>
      </c>
      <c r="M390" s="18">
        <v>18.100000000000001</v>
      </c>
      <c r="N390" s="17">
        <f t="shared" si="101"/>
        <v>0.7458563535911602</v>
      </c>
      <c r="O390" s="17">
        <f t="shared" si="102"/>
        <v>8.667032364234778E-2</v>
      </c>
      <c r="P390" s="17">
        <f t="shared" si="103"/>
        <v>6.0717879906071789E-2</v>
      </c>
    </row>
    <row r="391" spans="1:16" ht="14" customHeight="1" x14ac:dyDescent="0.25">
      <c r="A391" s="154"/>
      <c r="B391" s="15" t="s">
        <v>130</v>
      </c>
      <c r="C391" s="15"/>
      <c r="D391" s="18">
        <f>L391-L408</f>
        <v>79.200000000000045</v>
      </c>
      <c r="E391" s="18">
        <f>M391-M408</f>
        <v>66.000000000000028</v>
      </c>
      <c r="F391" s="17">
        <f t="shared" si="98"/>
        <v>0.20000000000000018</v>
      </c>
      <c r="G391" s="17">
        <f t="shared" si="99"/>
        <v>1</v>
      </c>
      <c r="H391" s="17">
        <f t="shared" si="100"/>
        <v>1</v>
      </c>
      <c r="J391" s="15" t="s">
        <v>130</v>
      </c>
      <c r="K391" s="15"/>
      <c r="L391" s="18">
        <v>364.6</v>
      </c>
      <c r="M391" s="15">
        <v>298.10000000000002</v>
      </c>
      <c r="N391" s="17">
        <f t="shared" si="101"/>
        <v>0.22307950352230788</v>
      </c>
      <c r="O391" s="17">
        <f t="shared" si="102"/>
        <v>1</v>
      </c>
      <c r="P391" s="17">
        <f t="shared" si="103"/>
        <v>1</v>
      </c>
    </row>
    <row r="392" spans="1:16" ht="14" customHeight="1" x14ac:dyDescent="0.25">
      <c r="A392" s="154"/>
    </row>
    <row r="393" spans="1:16" ht="14" customHeight="1" x14ac:dyDescent="0.25">
      <c r="A393" s="154"/>
    </row>
    <row r="394" spans="1:16" ht="14" customHeight="1" x14ac:dyDescent="0.25">
      <c r="A394" s="154"/>
    </row>
    <row r="395" spans="1:16" ht="14" customHeight="1" x14ac:dyDescent="0.25">
      <c r="A395" s="154"/>
      <c r="B395" s="11" t="s">
        <v>155</v>
      </c>
      <c r="C395" s="11"/>
      <c r="D395" s="11"/>
      <c r="E395" s="11"/>
      <c r="F395" s="11"/>
      <c r="G395" s="11"/>
      <c r="H395" s="11"/>
      <c r="J395" s="10" t="s">
        <v>156</v>
      </c>
      <c r="K395" s="11"/>
      <c r="L395" s="11"/>
      <c r="M395" s="11"/>
      <c r="N395" s="11"/>
      <c r="O395" s="11"/>
      <c r="P395" s="11"/>
    </row>
    <row r="396" spans="1:16" ht="14" customHeight="1" x14ac:dyDescent="0.25">
      <c r="A396" s="154"/>
      <c r="B396" s="11" t="s">
        <v>96</v>
      </c>
      <c r="C396" s="15" t="s">
        <v>123</v>
      </c>
      <c r="D396" s="19">
        <v>45413</v>
      </c>
      <c r="E396" s="19">
        <v>45047</v>
      </c>
      <c r="F396" s="15" t="s">
        <v>34</v>
      </c>
      <c r="G396" s="15" t="s">
        <v>97</v>
      </c>
      <c r="H396" s="15" t="s">
        <v>124</v>
      </c>
      <c r="J396" s="11" t="s">
        <v>96</v>
      </c>
      <c r="K396" s="15" t="s">
        <v>123</v>
      </c>
      <c r="L396" s="19" t="s">
        <v>157</v>
      </c>
      <c r="M396" s="19" t="s">
        <v>158</v>
      </c>
      <c r="N396" s="15" t="s">
        <v>34</v>
      </c>
      <c r="O396" s="15" t="s">
        <v>97</v>
      </c>
      <c r="P396" s="15" t="s">
        <v>124</v>
      </c>
    </row>
    <row r="397" spans="1:16" ht="14" customHeight="1" x14ac:dyDescent="0.25">
      <c r="A397" s="154"/>
      <c r="B397" s="20">
        <v>1</v>
      </c>
      <c r="C397" s="21" t="s">
        <v>68</v>
      </c>
      <c r="D397" s="18">
        <f>L397-L414</f>
        <v>25.599999999999994</v>
      </c>
      <c r="E397" s="18">
        <f t="shared" ref="D397:E399" si="104">M397-M414</f>
        <v>16</v>
      </c>
      <c r="F397" s="17">
        <f>D397/E397-1</f>
        <v>0.59999999999999964</v>
      </c>
      <c r="G397" s="17">
        <f>D397/$D$408</f>
        <v>0.36994219653179189</v>
      </c>
      <c r="H397" s="17">
        <f>E397/$E$408</f>
        <v>0.32258064516129037</v>
      </c>
      <c r="J397" s="20">
        <v>1</v>
      </c>
      <c r="K397" s="21" t="s">
        <v>68</v>
      </c>
      <c r="L397" s="18">
        <v>107</v>
      </c>
      <c r="M397" s="18">
        <v>81.599999999999994</v>
      </c>
      <c r="N397" s="17">
        <f>L397/M397-1</f>
        <v>0.31127450980392157</v>
      </c>
      <c r="O397" s="17">
        <f>L397/$L$408</f>
        <v>0.37491240364400846</v>
      </c>
      <c r="P397" s="17">
        <f>M397/$M$408</f>
        <v>0.35157259801809565</v>
      </c>
    </row>
    <row r="398" spans="1:16" ht="14" customHeight="1" x14ac:dyDescent="0.25">
      <c r="A398" s="154"/>
      <c r="B398" s="20">
        <v>2</v>
      </c>
      <c r="C398" s="21" t="s">
        <v>69</v>
      </c>
      <c r="D398" s="18">
        <f>L398-L415</f>
        <v>11.699999999999996</v>
      </c>
      <c r="E398" s="18">
        <f t="shared" si="104"/>
        <v>7.6000000000000014</v>
      </c>
      <c r="F398" s="17">
        <f>D398/E398-1</f>
        <v>0.53947368421052544</v>
      </c>
      <c r="G398" s="17">
        <f>D398/$D$408</f>
        <v>0.16907514450867048</v>
      </c>
      <c r="H398" s="17">
        <f>E398/$E$408</f>
        <v>0.15322580645161296</v>
      </c>
      <c r="J398" s="20">
        <v>2</v>
      </c>
      <c r="K398" s="21" t="s">
        <v>69</v>
      </c>
      <c r="L398" s="18">
        <v>44.9</v>
      </c>
      <c r="M398" s="18">
        <v>37</v>
      </c>
      <c r="N398" s="17">
        <f>L398/M398-1</f>
        <v>0.21351351351351355</v>
      </c>
      <c r="O398" s="17">
        <f t="shared" ref="O398:O408" si="105">L398/$L$408</f>
        <v>0.157323055360897</v>
      </c>
      <c r="P398" s="17">
        <f t="shared" ref="P398:P408" si="106">M398/$M$408</f>
        <v>0.15941404566996983</v>
      </c>
    </row>
    <row r="399" spans="1:16" ht="14" customHeight="1" x14ac:dyDescent="0.25">
      <c r="A399" s="154"/>
      <c r="B399" s="20">
        <v>3</v>
      </c>
      <c r="C399" s="21" t="s">
        <v>127</v>
      </c>
      <c r="D399" s="18">
        <f t="shared" si="104"/>
        <v>7.8999999999999986</v>
      </c>
      <c r="E399" s="18">
        <f t="shared" si="104"/>
        <v>8.3000000000000007</v>
      </c>
      <c r="F399" s="17">
        <f>D399/E399-1</f>
        <v>-4.8192771084337616E-2</v>
      </c>
      <c r="G399" s="17">
        <f>D399/$D$408</f>
        <v>0.11416184971098266</v>
      </c>
      <c r="H399" s="17">
        <f>E399/$E$408</f>
        <v>0.1673387096774194</v>
      </c>
      <c r="J399" s="20">
        <v>3</v>
      </c>
      <c r="K399" s="21" t="s">
        <v>127</v>
      </c>
      <c r="L399" s="18">
        <v>35.9</v>
      </c>
      <c r="M399" s="22">
        <v>34</v>
      </c>
      <c r="N399" s="17">
        <f t="shared" ref="N399:N408" si="107">L399/M399-1</f>
        <v>5.5882352941176494E-2</v>
      </c>
      <c r="O399" s="17">
        <f t="shared" si="105"/>
        <v>0.12578836720392433</v>
      </c>
      <c r="P399" s="17">
        <f t="shared" si="106"/>
        <v>0.14648858250753985</v>
      </c>
    </row>
    <row r="400" spans="1:16" ht="14" customHeight="1" x14ac:dyDescent="0.25">
      <c r="A400" s="154"/>
      <c r="B400" s="20">
        <v>4</v>
      </c>
      <c r="C400" s="21" t="s">
        <v>71</v>
      </c>
      <c r="D400" s="18">
        <v>3.7</v>
      </c>
      <c r="E400" s="18">
        <v>1.1000000000000001</v>
      </c>
      <c r="F400" s="17">
        <v>2.3636363636363602</v>
      </c>
      <c r="G400" s="17">
        <v>5.3468208092485599E-2</v>
      </c>
      <c r="H400" s="17">
        <v>2.21774193548387E-2</v>
      </c>
      <c r="J400" s="20">
        <v>4</v>
      </c>
      <c r="K400" s="21" t="s">
        <v>25</v>
      </c>
      <c r="L400" s="18">
        <v>13.9</v>
      </c>
      <c r="M400" s="18">
        <v>13.4</v>
      </c>
      <c r="N400" s="17">
        <f t="shared" si="107"/>
        <v>3.7313432835820892E-2</v>
      </c>
      <c r="O400" s="17">
        <f t="shared" si="105"/>
        <v>4.8703573931324462E-2</v>
      </c>
      <c r="P400" s="17">
        <f t="shared" si="106"/>
        <v>5.7733735458853942E-2</v>
      </c>
    </row>
    <row r="401" spans="1:16" ht="14" customHeight="1" x14ac:dyDescent="0.25">
      <c r="A401" s="154"/>
      <c r="B401" s="20">
        <v>5</v>
      </c>
      <c r="C401" s="21" t="s">
        <v>128</v>
      </c>
      <c r="D401" s="18">
        <v>3.4</v>
      </c>
      <c r="E401" s="18">
        <v>1.3</v>
      </c>
      <c r="F401" s="17">
        <v>1.6153846153846101</v>
      </c>
      <c r="G401" s="17">
        <v>4.9132947976878602E-2</v>
      </c>
      <c r="H401" s="17">
        <v>2.6209677419354899E-2</v>
      </c>
      <c r="J401" s="20">
        <v>5</v>
      </c>
      <c r="K401" s="21" t="s">
        <v>128</v>
      </c>
      <c r="L401" s="18">
        <v>13.7</v>
      </c>
      <c r="M401" s="18">
        <v>10.8</v>
      </c>
      <c r="N401" s="17">
        <f t="shared" si="107"/>
        <v>0.26851851851851838</v>
      </c>
      <c r="O401" s="17">
        <f t="shared" si="105"/>
        <v>4.8002803083391735E-2</v>
      </c>
      <c r="P401" s="17">
        <f t="shared" si="106"/>
        <v>4.6531667384747954E-2</v>
      </c>
    </row>
    <row r="402" spans="1:16" ht="14" customHeight="1" x14ac:dyDescent="0.25">
      <c r="A402" s="154"/>
      <c r="B402" s="20">
        <v>6</v>
      </c>
      <c r="C402" s="21" t="s">
        <v>72</v>
      </c>
      <c r="D402" s="18">
        <v>3.2</v>
      </c>
      <c r="E402" s="18">
        <v>3.2</v>
      </c>
      <c r="F402" s="17">
        <v>0</v>
      </c>
      <c r="G402" s="17">
        <v>4.6242774566474E-2</v>
      </c>
      <c r="H402" s="17">
        <v>6.4516129032258104E-2</v>
      </c>
      <c r="J402" s="20">
        <v>6</v>
      </c>
      <c r="K402" s="21" t="s">
        <v>72</v>
      </c>
      <c r="L402" s="18">
        <v>13.4</v>
      </c>
      <c r="M402" s="18">
        <v>18.3</v>
      </c>
      <c r="N402" s="17">
        <f t="shared" si="107"/>
        <v>-0.26775956284153002</v>
      </c>
      <c r="O402" s="17">
        <f t="shared" si="105"/>
        <v>4.6951646811492644E-2</v>
      </c>
      <c r="P402" s="17">
        <f t="shared" si="106"/>
        <v>7.8845325290822929E-2</v>
      </c>
    </row>
    <row r="403" spans="1:16" ht="14" customHeight="1" x14ac:dyDescent="0.25">
      <c r="A403" s="154"/>
      <c r="B403" s="20">
        <v>7</v>
      </c>
      <c r="C403" s="21" t="s">
        <v>25</v>
      </c>
      <c r="D403" s="18">
        <v>3</v>
      </c>
      <c r="E403" s="18">
        <v>5.9</v>
      </c>
      <c r="F403" s="17">
        <v>-0.49152542372881403</v>
      </c>
      <c r="G403" s="17">
        <v>4.3352601156069398E-2</v>
      </c>
      <c r="H403" s="17">
        <v>0.11895161290322601</v>
      </c>
      <c r="J403" s="20">
        <v>7</v>
      </c>
      <c r="K403" s="21" t="s">
        <v>71</v>
      </c>
      <c r="L403" s="18">
        <v>13</v>
      </c>
      <c r="M403" s="18">
        <v>9.5</v>
      </c>
      <c r="N403" s="17">
        <f t="shared" si="107"/>
        <v>0.36842105263157898</v>
      </c>
      <c r="O403" s="17">
        <f t="shared" si="105"/>
        <v>4.5550105115627196E-2</v>
      </c>
      <c r="P403" s="17">
        <f t="shared" si="106"/>
        <v>4.0930633347694957E-2</v>
      </c>
    </row>
    <row r="404" spans="1:16" ht="14" customHeight="1" x14ac:dyDescent="0.25">
      <c r="A404" s="154"/>
      <c r="B404" s="20">
        <v>8</v>
      </c>
      <c r="C404" s="21" t="s">
        <v>73</v>
      </c>
      <c r="D404" s="18">
        <f t="shared" ref="D404:E408" si="108">L404-L421</f>
        <v>2</v>
      </c>
      <c r="E404" s="18">
        <f t="shared" si="108"/>
        <v>1.6</v>
      </c>
      <c r="F404" s="17">
        <f>D404/E404-1</f>
        <v>0.25</v>
      </c>
      <c r="G404" s="17">
        <f>D404/$D$408</f>
        <v>2.8901734104046249E-2</v>
      </c>
      <c r="H404" s="17">
        <f>E404/$E$408</f>
        <v>3.2258064516129038E-2</v>
      </c>
      <c r="J404" s="20">
        <v>8</v>
      </c>
      <c r="K404" s="21" t="s">
        <v>73</v>
      </c>
      <c r="L404" s="18">
        <v>7</v>
      </c>
      <c r="M404" s="18">
        <v>5</v>
      </c>
      <c r="N404" s="17">
        <f t="shared" si="107"/>
        <v>0.39999999999999991</v>
      </c>
      <c r="O404" s="17">
        <f t="shared" si="105"/>
        <v>2.4526979677645413E-2</v>
      </c>
      <c r="P404" s="17">
        <f t="shared" si="106"/>
        <v>2.1542438604049977E-2</v>
      </c>
    </row>
    <row r="405" spans="1:16" ht="14" customHeight="1" x14ac:dyDescent="0.25">
      <c r="A405" s="154"/>
      <c r="B405" s="20">
        <v>9</v>
      </c>
      <c r="C405" s="21" t="s">
        <v>70</v>
      </c>
      <c r="D405" s="18">
        <f t="shared" si="108"/>
        <v>1.6000000000000005</v>
      </c>
      <c r="E405" s="18">
        <f t="shared" si="108"/>
        <v>0.79999999999999982</v>
      </c>
      <c r="F405" s="17">
        <f>D405/E405-1</f>
        <v>1.0000000000000013</v>
      </c>
      <c r="G405" s="17">
        <f>D405/$D$408</f>
        <v>2.3121387283237007E-2</v>
      </c>
      <c r="H405" s="17">
        <f>E405/$E$408</f>
        <v>1.6129032258064516E-2</v>
      </c>
      <c r="J405" s="20">
        <v>9</v>
      </c>
      <c r="K405" s="21" t="s">
        <v>70</v>
      </c>
      <c r="L405" s="18">
        <v>6.4</v>
      </c>
      <c r="M405" s="18">
        <v>5.2</v>
      </c>
      <c r="N405" s="17">
        <f t="shared" si="107"/>
        <v>0.23076923076923084</v>
      </c>
      <c r="O405" s="17">
        <f t="shared" si="105"/>
        <v>2.2424667133847234E-2</v>
      </c>
      <c r="P405" s="17">
        <f t="shared" si="106"/>
        <v>2.2404136148211979E-2</v>
      </c>
    </row>
    <row r="406" spans="1:16" ht="14" customHeight="1" x14ac:dyDescent="0.25">
      <c r="A406" s="154"/>
      <c r="B406" s="20">
        <v>10</v>
      </c>
      <c r="C406" s="21" t="s">
        <v>129</v>
      </c>
      <c r="D406" s="18">
        <f t="shared" si="108"/>
        <v>1.5</v>
      </c>
      <c r="E406" s="18">
        <f t="shared" si="108"/>
        <v>0.80000000000000027</v>
      </c>
      <c r="F406" s="17">
        <f>D406/E406-1</f>
        <v>0.87499999999999933</v>
      </c>
      <c r="G406" s="17">
        <f>D406/$D$408</f>
        <v>2.1676300578034685E-2</v>
      </c>
      <c r="H406" s="17">
        <f>E406/$E$408</f>
        <v>1.6129032258064523E-2</v>
      </c>
      <c r="J406" s="20">
        <v>10</v>
      </c>
      <c r="K406" s="21" t="s">
        <v>129</v>
      </c>
      <c r="L406" s="18">
        <v>5.9</v>
      </c>
      <c r="M406" s="18">
        <v>3.6</v>
      </c>
      <c r="N406" s="17">
        <f t="shared" si="107"/>
        <v>0.63888888888888884</v>
      </c>
      <c r="O406" s="17">
        <f t="shared" si="105"/>
        <v>2.0672740014015419E-2</v>
      </c>
      <c r="P406" s="17">
        <f t="shared" si="106"/>
        <v>1.5510555794915986E-2</v>
      </c>
    </row>
    <row r="407" spans="1:16" ht="14" customHeight="1" x14ac:dyDescent="0.25">
      <c r="A407" s="154"/>
      <c r="B407" s="15"/>
      <c r="C407" s="15" t="s">
        <v>105</v>
      </c>
      <c r="D407" s="18">
        <f t="shared" si="108"/>
        <v>5.6000000000000014</v>
      </c>
      <c r="E407" s="18">
        <f t="shared" si="108"/>
        <v>2.7999999999999989</v>
      </c>
      <c r="F407" s="17">
        <f>D407/E407-1</f>
        <v>1.0000000000000013</v>
      </c>
      <c r="G407" s="17">
        <f>D407/$D$408</f>
        <v>8.0924855491329509E-2</v>
      </c>
      <c r="H407" s="17">
        <f>E407/$E$408</f>
        <v>5.6451612903225791E-2</v>
      </c>
      <c r="J407" s="15"/>
      <c r="K407" s="15" t="s">
        <v>105</v>
      </c>
      <c r="L407" s="18">
        <v>24.3</v>
      </c>
      <c r="M407" s="18">
        <v>13.6</v>
      </c>
      <c r="N407" s="17">
        <f t="shared" si="107"/>
        <v>0.78676470588235303</v>
      </c>
      <c r="O407" s="17">
        <f t="shared" si="105"/>
        <v>8.5143658023826216E-2</v>
      </c>
      <c r="P407" s="17">
        <f t="shared" si="106"/>
        <v>5.8595433003015944E-2</v>
      </c>
    </row>
    <row r="408" spans="1:16" ht="14" customHeight="1" x14ac:dyDescent="0.25">
      <c r="A408" s="154"/>
      <c r="B408" s="15" t="s">
        <v>130</v>
      </c>
      <c r="C408" s="15"/>
      <c r="D408" s="18">
        <f t="shared" si="108"/>
        <v>69.199999999999989</v>
      </c>
      <c r="E408" s="18">
        <f t="shared" si="108"/>
        <v>49.599999999999994</v>
      </c>
      <c r="F408" s="17">
        <f>D408/E408-1</f>
        <v>0.39516129032258052</v>
      </c>
      <c r="G408" s="17">
        <f>D408/$D$408</f>
        <v>1</v>
      </c>
      <c r="H408" s="17">
        <f>E408/$E$408</f>
        <v>1</v>
      </c>
      <c r="J408" s="15" t="s">
        <v>130</v>
      </c>
      <c r="K408" s="15"/>
      <c r="L408" s="18">
        <v>285.39999999999998</v>
      </c>
      <c r="M408" s="15">
        <v>232.1</v>
      </c>
      <c r="N408" s="17">
        <f t="shared" si="107"/>
        <v>0.22964239551917265</v>
      </c>
      <c r="O408" s="17">
        <f t="shared" si="105"/>
        <v>1</v>
      </c>
      <c r="P408" s="17">
        <f t="shared" si="106"/>
        <v>1</v>
      </c>
    </row>
    <row r="409" spans="1:16" ht="14" customHeight="1" x14ac:dyDescent="0.25">
      <c r="A409" s="154"/>
      <c r="B409" s="15"/>
      <c r="C409" s="15"/>
      <c r="D409" s="18"/>
      <c r="E409" s="18"/>
      <c r="F409" s="17"/>
      <c r="G409" s="17"/>
      <c r="H409" s="17"/>
      <c r="J409" s="15"/>
      <c r="K409" s="15"/>
      <c r="L409" s="18"/>
      <c r="M409" s="15"/>
      <c r="N409" s="17"/>
      <c r="O409" s="17"/>
      <c r="P409" s="17"/>
    </row>
    <row r="410" spans="1:16" ht="14" customHeight="1" x14ac:dyDescent="0.25">
      <c r="A410" s="154"/>
      <c r="B410" s="15"/>
      <c r="C410" s="15"/>
      <c r="D410" s="18"/>
      <c r="E410" s="18"/>
      <c r="F410" s="17"/>
      <c r="G410" s="17"/>
      <c r="H410" s="17"/>
      <c r="J410" s="15"/>
      <c r="K410" s="15"/>
      <c r="L410" s="18"/>
      <c r="M410" s="15"/>
      <c r="N410" s="17"/>
      <c r="O410" s="17"/>
      <c r="P410" s="17"/>
    </row>
    <row r="411" spans="1:16" ht="14" customHeight="1" x14ac:dyDescent="0.25">
      <c r="A411" s="154"/>
    </row>
    <row r="412" spans="1:16" ht="14" customHeight="1" x14ac:dyDescent="0.25">
      <c r="A412" s="154"/>
      <c r="B412" s="11" t="s">
        <v>159</v>
      </c>
      <c r="C412" s="11"/>
      <c r="D412" s="11"/>
      <c r="E412" s="11"/>
      <c r="F412" s="11"/>
      <c r="G412" s="11"/>
      <c r="H412" s="11"/>
      <c r="J412" s="10" t="s">
        <v>160</v>
      </c>
      <c r="K412" s="11"/>
      <c r="L412" s="11"/>
      <c r="M412" s="11"/>
      <c r="N412" s="11"/>
      <c r="O412" s="11"/>
      <c r="P412" s="11"/>
    </row>
    <row r="413" spans="1:16" ht="14" customHeight="1" x14ac:dyDescent="0.25">
      <c r="A413" s="154"/>
      <c r="B413" s="11" t="s">
        <v>96</v>
      </c>
      <c r="C413" s="15" t="s">
        <v>123</v>
      </c>
      <c r="D413" s="19">
        <v>45383</v>
      </c>
      <c r="E413" s="19">
        <v>45017</v>
      </c>
      <c r="F413" s="15" t="s">
        <v>34</v>
      </c>
      <c r="G413" s="15" t="s">
        <v>97</v>
      </c>
      <c r="H413" s="15" t="s">
        <v>124</v>
      </c>
      <c r="J413" s="11" t="s">
        <v>96</v>
      </c>
      <c r="K413" s="15" t="s">
        <v>123</v>
      </c>
      <c r="L413" s="19" t="s">
        <v>161</v>
      </c>
      <c r="M413" s="19" t="s">
        <v>162</v>
      </c>
      <c r="N413" s="15" t="s">
        <v>34</v>
      </c>
      <c r="O413" s="15" t="s">
        <v>97</v>
      </c>
      <c r="P413" s="15" t="s">
        <v>124</v>
      </c>
    </row>
    <row r="414" spans="1:16" ht="14" customHeight="1" x14ac:dyDescent="0.25">
      <c r="A414" s="154"/>
      <c r="B414" s="20">
        <v>1</v>
      </c>
      <c r="C414" s="21" t="s">
        <v>68</v>
      </c>
      <c r="D414" s="18">
        <v>21.3</v>
      </c>
      <c r="E414" s="18">
        <v>19</v>
      </c>
      <c r="F414" s="17">
        <f>D414/E414-1</f>
        <v>0.1210526315789473</v>
      </c>
      <c r="G414" s="17">
        <v>0.36399999999999999</v>
      </c>
      <c r="H414" s="17">
        <f>E414/E$425</f>
        <v>0.38383838383838381</v>
      </c>
      <c r="J414" s="20">
        <v>1</v>
      </c>
      <c r="K414" s="21" t="s">
        <v>68</v>
      </c>
      <c r="L414" s="18">
        <v>81.400000000000006</v>
      </c>
      <c r="M414" s="18">
        <v>65.599999999999994</v>
      </c>
      <c r="N414" s="17">
        <f>L414/M414-1</f>
        <v>0.24085365853658547</v>
      </c>
      <c r="O414" s="17">
        <f>L414/L$425</f>
        <v>0.37650323774283073</v>
      </c>
      <c r="P414" s="17">
        <f>M414/M$425</f>
        <v>0.35945205479452053</v>
      </c>
    </row>
    <row r="415" spans="1:16" ht="14" customHeight="1" x14ac:dyDescent="0.25">
      <c r="A415" s="154"/>
      <c r="B415" s="20">
        <v>2</v>
      </c>
      <c r="C415" s="21" t="s">
        <v>69</v>
      </c>
      <c r="D415" s="18">
        <v>10.5</v>
      </c>
      <c r="E415" s="18">
        <v>7.9</v>
      </c>
      <c r="F415" s="17">
        <f t="shared" ref="F415:F425" si="109">D415/E415-1</f>
        <v>0.32911392405063289</v>
      </c>
      <c r="G415" s="17">
        <v>0.18</v>
      </c>
      <c r="H415" s="17">
        <f t="shared" ref="H415:H425" si="110">E415/E$425</f>
        <v>0.1595959595959596</v>
      </c>
      <c r="J415" s="20">
        <v>2</v>
      </c>
      <c r="K415" s="21" t="s">
        <v>69</v>
      </c>
      <c r="L415" s="18">
        <v>33.200000000000003</v>
      </c>
      <c r="M415" s="18">
        <v>29.4</v>
      </c>
      <c r="N415" s="17">
        <f t="shared" ref="N415:N422" si="111">L415/M415-1</f>
        <v>0.12925170068027225</v>
      </c>
      <c r="O415" s="17">
        <f t="shared" ref="O415:O425" si="112">L415/L$425</f>
        <v>0.15356151711378355</v>
      </c>
      <c r="P415" s="17">
        <f t="shared" ref="P415:P425" si="113">M415/M$425</f>
        <v>0.1610958904109589</v>
      </c>
    </row>
    <row r="416" spans="1:16" ht="14" customHeight="1" x14ac:dyDescent="0.25">
      <c r="A416" s="154"/>
      <c r="B416" s="20">
        <v>3</v>
      </c>
      <c r="C416" s="21" t="s">
        <v>127</v>
      </c>
      <c r="D416" s="18">
        <v>6.7</v>
      </c>
      <c r="E416" s="18">
        <v>6.4</v>
      </c>
      <c r="F416" s="17">
        <f t="shared" si="109"/>
        <v>4.6875E-2</v>
      </c>
      <c r="G416" s="17">
        <v>0.115</v>
      </c>
      <c r="H416" s="17">
        <f t="shared" si="110"/>
        <v>0.12929292929292929</v>
      </c>
      <c r="J416" s="20">
        <v>3</v>
      </c>
      <c r="K416" s="21" t="s">
        <v>127</v>
      </c>
      <c r="L416" s="18">
        <v>28</v>
      </c>
      <c r="M416" s="22">
        <v>25.7</v>
      </c>
      <c r="N416" s="17">
        <f t="shared" si="111"/>
        <v>8.949416342412464E-2</v>
      </c>
      <c r="O416" s="17">
        <f t="shared" si="112"/>
        <v>0.12950971322849214</v>
      </c>
      <c r="P416" s="17">
        <f t="shared" si="113"/>
        <v>0.14082191780821918</v>
      </c>
    </row>
    <row r="417" spans="1:16" ht="14" customHeight="1" x14ac:dyDescent="0.25">
      <c r="A417" s="154"/>
      <c r="B417" s="20">
        <v>4</v>
      </c>
      <c r="C417" s="21" t="s">
        <v>71</v>
      </c>
      <c r="D417" s="18">
        <v>2.95</v>
      </c>
      <c r="E417" s="18">
        <v>2.7</v>
      </c>
      <c r="F417" s="17">
        <f t="shared" si="109"/>
        <v>9.259259259259256E-2</v>
      </c>
      <c r="G417" s="17">
        <v>0.05</v>
      </c>
      <c r="H417" s="17">
        <f t="shared" si="110"/>
        <v>5.454545454545455E-2</v>
      </c>
      <c r="J417" s="20">
        <v>4</v>
      </c>
      <c r="K417" s="21" t="s">
        <v>128</v>
      </c>
      <c r="L417" s="18">
        <v>10.9</v>
      </c>
      <c r="M417" s="18">
        <v>7.5</v>
      </c>
      <c r="N417" s="17">
        <f t="shared" si="111"/>
        <v>0.45333333333333337</v>
      </c>
      <c r="O417" s="17">
        <f t="shared" si="112"/>
        <v>5.0416281221091583E-2</v>
      </c>
      <c r="P417" s="17">
        <f t="shared" si="113"/>
        <v>4.1095890410958902E-2</v>
      </c>
    </row>
    <row r="418" spans="1:16" ht="14" customHeight="1" x14ac:dyDescent="0.25">
      <c r="A418" s="154"/>
      <c r="B418" s="20">
        <v>5</v>
      </c>
      <c r="C418" s="21" t="s">
        <v>25</v>
      </c>
      <c r="D418" s="18">
        <v>2.8</v>
      </c>
      <c r="E418" s="18">
        <v>2.4</v>
      </c>
      <c r="F418" s="17">
        <f t="shared" si="109"/>
        <v>0.16666666666666674</v>
      </c>
      <c r="G418" s="17">
        <v>4.9000000000000002E-2</v>
      </c>
      <c r="H418" s="17">
        <f t="shared" si="110"/>
        <v>4.8484848484848485E-2</v>
      </c>
      <c r="J418" s="20">
        <v>5</v>
      </c>
      <c r="K418" s="21" t="s">
        <v>25</v>
      </c>
      <c r="L418" s="18">
        <v>10.3</v>
      </c>
      <c r="M418" s="18">
        <v>9.5</v>
      </c>
      <c r="N418" s="17">
        <f t="shared" si="111"/>
        <v>8.4210526315789513E-2</v>
      </c>
      <c r="O418" s="17">
        <f t="shared" si="112"/>
        <v>4.7641073080481044E-2</v>
      </c>
      <c r="P418" s="17">
        <f t="shared" si="113"/>
        <v>5.2054794520547946E-2</v>
      </c>
    </row>
    <row r="419" spans="1:16" ht="14" customHeight="1" x14ac:dyDescent="0.25">
      <c r="A419" s="154"/>
      <c r="B419" s="20">
        <v>6</v>
      </c>
      <c r="C419" s="21" t="s">
        <v>128</v>
      </c>
      <c r="D419" s="18">
        <v>2.6</v>
      </c>
      <c r="E419" s="18">
        <v>1</v>
      </c>
      <c r="F419" s="17">
        <f t="shared" si="109"/>
        <v>1.6</v>
      </c>
      <c r="G419" s="17">
        <v>4.3999999999999997E-2</v>
      </c>
      <c r="H419" s="17">
        <f t="shared" si="110"/>
        <v>2.0202020202020204E-2</v>
      </c>
      <c r="J419" s="20">
        <v>6</v>
      </c>
      <c r="K419" s="21" t="s">
        <v>72</v>
      </c>
      <c r="L419" s="18">
        <v>10.199999999999999</v>
      </c>
      <c r="M419" s="18">
        <v>15.1</v>
      </c>
      <c r="N419" s="17">
        <f t="shared" si="111"/>
        <v>-0.32450331125827814</v>
      </c>
      <c r="O419" s="17">
        <f t="shared" si="112"/>
        <v>4.7178538390379277E-2</v>
      </c>
      <c r="P419" s="17">
        <f t="shared" si="113"/>
        <v>8.2739726027397265E-2</v>
      </c>
    </row>
    <row r="420" spans="1:16" ht="14" customHeight="1" x14ac:dyDescent="0.25">
      <c r="A420" s="154"/>
      <c r="B420" s="20">
        <v>7</v>
      </c>
      <c r="C420" s="21" t="s">
        <v>72</v>
      </c>
      <c r="D420" s="18">
        <v>2.2999999999999998</v>
      </c>
      <c r="E420" s="18">
        <v>3.2</v>
      </c>
      <c r="F420" s="17">
        <f t="shared" si="109"/>
        <v>-0.28125000000000011</v>
      </c>
      <c r="G420" s="17">
        <v>3.9E-2</v>
      </c>
      <c r="H420" s="17">
        <f t="shared" si="110"/>
        <v>6.4646464646464646E-2</v>
      </c>
      <c r="J420" s="20">
        <v>7</v>
      </c>
      <c r="K420" s="21" t="s">
        <v>71</v>
      </c>
      <c r="L420" s="18">
        <v>9.3000000000000007</v>
      </c>
      <c r="M420" s="18">
        <v>8.4</v>
      </c>
      <c r="N420" s="17">
        <f t="shared" si="111"/>
        <v>0.10714285714285721</v>
      </c>
      <c r="O420" s="17">
        <f t="shared" si="112"/>
        <v>4.3015726179463462E-2</v>
      </c>
      <c r="P420" s="17">
        <f t="shared" si="113"/>
        <v>4.6027397260273974E-2</v>
      </c>
    </row>
    <row r="421" spans="1:16" ht="14" customHeight="1" x14ac:dyDescent="0.25">
      <c r="A421" s="154"/>
      <c r="B421" s="20">
        <v>8</v>
      </c>
      <c r="C421" s="21" t="s">
        <v>73</v>
      </c>
      <c r="D421" s="18">
        <v>1.4</v>
      </c>
      <c r="E421" s="18">
        <v>1</v>
      </c>
      <c r="F421" s="17">
        <f t="shared" si="109"/>
        <v>0.39999999999999991</v>
      </c>
      <c r="G421" s="17">
        <v>2.5000000000000001E-2</v>
      </c>
      <c r="H421" s="17">
        <f t="shared" si="110"/>
        <v>2.0202020202020204E-2</v>
      </c>
      <c r="J421" s="20">
        <v>8</v>
      </c>
      <c r="K421" s="21" t="s">
        <v>73</v>
      </c>
      <c r="L421" s="18">
        <v>5</v>
      </c>
      <c r="M421" s="18">
        <v>3.4</v>
      </c>
      <c r="N421" s="17">
        <f t="shared" si="111"/>
        <v>0.47058823529411775</v>
      </c>
      <c r="O421" s="17">
        <f t="shared" si="112"/>
        <v>2.3126734505087884E-2</v>
      </c>
      <c r="P421" s="17">
        <f t="shared" si="113"/>
        <v>1.8630136986301369E-2</v>
      </c>
    </row>
    <row r="422" spans="1:16" ht="14" customHeight="1" x14ac:dyDescent="0.25">
      <c r="A422" s="154"/>
      <c r="B422" s="20">
        <v>9</v>
      </c>
      <c r="C422" s="21" t="s">
        <v>70</v>
      </c>
      <c r="D422" s="18">
        <v>1.4</v>
      </c>
      <c r="E422" s="18">
        <v>1.5</v>
      </c>
      <c r="F422" s="17">
        <f t="shared" si="109"/>
        <v>-6.6666666666666763E-2</v>
      </c>
      <c r="G422" s="17">
        <v>2.3E-2</v>
      </c>
      <c r="H422" s="17">
        <f t="shared" si="110"/>
        <v>3.0303030303030304E-2</v>
      </c>
      <c r="J422" s="20">
        <v>9</v>
      </c>
      <c r="K422" s="21" t="s">
        <v>70</v>
      </c>
      <c r="L422" s="18">
        <v>4.8</v>
      </c>
      <c r="M422" s="18">
        <v>4.4000000000000004</v>
      </c>
      <c r="N422" s="17">
        <f t="shared" si="111"/>
        <v>9.0909090909090828E-2</v>
      </c>
      <c r="O422" s="17">
        <f t="shared" si="112"/>
        <v>2.2201665124884366E-2</v>
      </c>
      <c r="P422" s="17">
        <f t="shared" si="113"/>
        <v>2.4109589041095891E-2</v>
      </c>
    </row>
    <row r="423" spans="1:16" ht="14" customHeight="1" x14ac:dyDescent="0.25">
      <c r="A423" s="154"/>
      <c r="B423" s="20">
        <v>10</v>
      </c>
      <c r="C423" s="21" t="s">
        <v>129</v>
      </c>
      <c r="D423" s="18">
        <v>1.2</v>
      </c>
      <c r="E423" s="18">
        <v>0.9</v>
      </c>
      <c r="F423" s="17">
        <f t="shared" si="109"/>
        <v>0.33333333333333326</v>
      </c>
      <c r="G423" s="17">
        <v>2.1000000000000001E-2</v>
      </c>
      <c r="H423" s="17">
        <f t="shared" si="110"/>
        <v>1.8181818181818181E-2</v>
      </c>
      <c r="J423" s="20">
        <v>10</v>
      </c>
      <c r="K423" s="21" t="s">
        <v>129</v>
      </c>
      <c r="L423" s="18">
        <v>4.4000000000000004</v>
      </c>
      <c r="M423" s="18">
        <v>2.8</v>
      </c>
      <c r="N423" s="17">
        <v>2.177</v>
      </c>
      <c r="O423" s="17">
        <f t="shared" si="112"/>
        <v>2.0351526364477339E-2</v>
      </c>
      <c r="P423" s="17">
        <f t="shared" si="113"/>
        <v>1.5342465753424657E-2</v>
      </c>
    </row>
    <row r="424" spans="1:16" ht="14" customHeight="1" x14ac:dyDescent="0.25">
      <c r="A424" s="154"/>
      <c r="B424" s="15"/>
      <c r="C424" s="15" t="s">
        <v>105</v>
      </c>
      <c r="D424" s="18">
        <v>5.2</v>
      </c>
      <c r="E424" s="18">
        <v>3.7</v>
      </c>
      <c r="F424" s="17">
        <f t="shared" si="109"/>
        <v>0.40540540540540548</v>
      </c>
      <c r="G424" s="17">
        <v>8.8999999999999996E-2</v>
      </c>
      <c r="H424" s="17">
        <f t="shared" si="110"/>
        <v>7.4747474747474757E-2</v>
      </c>
      <c r="J424" s="15"/>
      <c r="K424" s="15" t="s">
        <v>105</v>
      </c>
      <c r="L424" s="18">
        <v>18.7</v>
      </c>
      <c r="M424" s="18">
        <v>10.8</v>
      </c>
      <c r="N424" s="17">
        <f>L424/M424-1</f>
        <v>0.7314814814814814</v>
      </c>
      <c r="O424" s="17">
        <f t="shared" si="112"/>
        <v>8.6493987049028678E-2</v>
      </c>
      <c r="P424" s="17">
        <f t="shared" si="113"/>
        <v>5.9178082191780827E-2</v>
      </c>
    </row>
    <row r="425" spans="1:16" ht="14" customHeight="1" x14ac:dyDescent="0.25">
      <c r="A425" s="154"/>
      <c r="B425" s="15" t="s">
        <v>130</v>
      </c>
      <c r="C425" s="15"/>
      <c r="D425" s="18">
        <v>58.5</v>
      </c>
      <c r="E425" s="18">
        <v>49.5</v>
      </c>
      <c r="F425" s="17">
        <f t="shared" si="109"/>
        <v>0.18181818181818188</v>
      </c>
      <c r="G425" s="17">
        <v>1</v>
      </c>
      <c r="H425" s="17">
        <f t="shared" si="110"/>
        <v>1</v>
      </c>
      <c r="J425" s="15" t="s">
        <v>130</v>
      </c>
      <c r="K425" s="15"/>
      <c r="L425" s="18">
        <v>216.2</v>
      </c>
      <c r="M425" s="15">
        <v>182.5</v>
      </c>
      <c r="N425" s="17">
        <f>L425/M425-1</f>
        <v>0.18465753424657527</v>
      </c>
      <c r="O425" s="17">
        <f t="shared" si="112"/>
        <v>1</v>
      </c>
      <c r="P425" s="17">
        <f t="shared" si="113"/>
        <v>1</v>
      </c>
    </row>
    <row r="426" spans="1:16" ht="14" customHeight="1" x14ac:dyDescent="0.25">
      <c r="A426" s="154"/>
      <c r="B426" s="15"/>
      <c r="C426" s="15"/>
      <c r="D426" s="18"/>
      <c r="E426" s="18"/>
      <c r="F426" s="17"/>
      <c r="G426" s="17"/>
      <c r="H426" s="17"/>
    </row>
    <row r="427" spans="1:16" ht="14" customHeight="1" x14ac:dyDescent="0.25">
      <c r="A427" s="154"/>
      <c r="B427" s="15"/>
      <c r="E427" s="18"/>
      <c r="F427" s="17"/>
      <c r="G427" s="17"/>
      <c r="H427" s="17"/>
    </row>
    <row r="428" spans="1:16" ht="14" customHeight="1" x14ac:dyDescent="0.25">
      <c r="A428" s="154"/>
    </row>
    <row r="429" spans="1:16" ht="14" customHeight="1" x14ac:dyDescent="0.25">
      <c r="A429" s="154"/>
      <c r="B429" s="11" t="s">
        <v>163</v>
      </c>
      <c r="C429" s="11"/>
      <c r="D429" s="11"/>
      <c r="E429" s="11"/>
      <c r="F429" s="11"/>
      <c r="G429" s="11"/>
      <c r="H429" s="11"/>
      <c r="J429" s="10" t="s">
        <v>164</v>
      </c>
      <c r="K429" s="11"/>
      <c r="L429" s="11"/>
      <c r="M429" s="11"/>
      <c r="N429" s="11"/>
      <c r="O429" s="11"/>
      <c r="P429" s="11"/>
    </row>
    <row r="430" spans="1:16" ht="14" customHeight="1" x14ac:dyDescent="0.25">
      <c r="A430" s="154"/>
      <c r="B430" s="11" t="s">
        <v>96</v>
      </c>
      <c r="C430" s="15" t="s">
        <v>123</v>
      </c>
      <c r="D430" s="19">
        <v>45352</v>
      </c>
      <c r="E430" s="19">
        <v>44986</v>
      </c>
      <c r="F430" s="15" t="s">
        <v>34</v>
      </c>
      <c r="G430" s="15" t="s">
        <v>97</v>
      </c>
      <c r="H430" s="15" t="s">
        <v>124</v>
      </c>
      <c r="J430" s="11" t="s">
        <v>96</v>
      </c>
      <c r="K430" s="15" t="s">
        <v>123</v>
      </c>
      <c r="L430" s="19" t="s">
        <v>165</v>
      </c>
      <c r="M430" s="19" t="s">
        <v>166</v>
      </c>
      <c r="N430" s="15" t="s">
        <v>34</v>
      </c>
      <c r="O430" s="15" t="s">
        <v>97</v>
      </c>
      <c r="P430" s="15" t="s">
        <v>124</v>
      </c>
    </row>
    <row r="431" spans="1:16" ht="14" customHeight="1" x14ac:dyDescent="0.25">
      <c r="A431" s="154"/>
      <c r="B431" s="20">
        <v>1</v>
      </c>
      <c r="C431" s="21" t="s">
        <v>68</v>
      </c>
      <c r="D431" s="18">
        <f>L431-L448</f>
        <v>24.6</v>
      </c>
      <c r="E431" s="18">
        <f>M431-M448</f>
        <v>22.1</v>
      </c>
      <c r="F431" s="17">
        <f>D431/E431-1</f>
        <v>0.1131221719457014</v>
      </c>
      <c r="G431" s="17">
        <f>D431/D$442</f>
        <v>0.37048192771084337</v>
      </c>
      <c r="H431" s="17">
        <f>E431/E$442</f>
        <v>0.3665008291873964</v>
      </c>
      <c r="J431" s="20">
        <v>1</v>
      </c>
      <c r="K431" s="21" t="s">
        <v>68</v>
      </c>
      <c r="L431" s="18">
        <v>60.1</v>
      </c>
      <c r="M431" s="18">
        <v>46.6</v>
      </c>
      <c r="N431" s="17">
        <f>L431/M431-1</f>
        <v>0.28969957081545061</v>
      </c>
      <c r="O431" s="17">
        <f>L431/L$442</f>
        <v>0.37846347607052894</v>
      </c>
      <c r="P431" s="17">
        <f>M431/M$442</f>
        <v>0.35037593984962406</v>
      </c>
    </row>
    <row r="432" spans="1:16" ht="14" customHeight="1" x14ac:dyDescent="0.25">
      <c r="A432" s="154"/>
      <c r="B432" s="20">
        <v>2</v>
      </c>
      <c r="C432" s="21" t="s">
        <v>69</v>
      </c>
      <c r="D432" s="18">
        <f>L432-L450</f>
        <v>10.6</v>
      </c>
      <c r="E432" s="18">
        <f>M432-M450</f>
        <v>9</v>
      </c>
      <c r="F432" s="17">
        <f t="shared" ref="F432:F442" si="114">D432/E432-1</f>
        <v>0.17777777777777781</v>
      </c>
      <c r="G432" s="17">
        <f t="shared" ref="G432:G442" si="115">D432/D$442</f>
        <v>0.15963855421686746</v>
      </c>
      <c r="H432" s="17">
        <f t="shared" ref="H432:H442" si="116">E432/E$442</f>
        <v>0.1492537313432836</v>
      </c>
      <c r="J432" s="20">
        <v>2</v>
      </c>
      <c r="K432" s="21" t="s">
        <v>69</v>
      </c>
      <c r="L432" s="18">
        <v>22.7</v>
      </c>
      <c r="M432" s="18">
        <v>21.5</v>
      </c>
      <c r="N432" s="17">
        <f t="shared" ref="N432:N439" si="117">L432/M432-1</f>
        <v>5.5813953488372148E-2</v>
      </c>
      <c r="O432" s="17">
        <f t="shared" ref="O432:O442" si="118">L432/L$442</f>
        <v>0.14294710327455917</v>
      </c>
      <c r="P432" s="17">
        <f t="shared" ref="P432:P442" si="119">M432/M$442</f>
        <v>0.16165413533834586</v>
      </c>
    </row>
    <row r="433" spans="1:16" ht="14" customHeight="1" x14ac:dyDescent="0.25">
      <c r="A433" s="154"/>
      <c r="B433" s="20">
        <v>3</v>
      </c>
      <c r="C433" s="21" t="s">
        <v>127</v>
      </c>
      <c r="D433" s="18">
        <f>L433-L449</f>
        <v>9</v>
      </c>
      <c r="E433" s="18">
        <f>M433-M449</f>
        <v>9.2000000000000011</v>
      </c>
      <c r="F433" s="17">
        <f t="shared" si="114"/>
        <v>-2.1739130434782705E-2</v>
      </c>
      <c r="G433" s="17">
        <f t="shared" si="115"/>
        <v>0.13554216867469879</v>
      </c>
      <c r="H433" s="17">
        <f t="shared" si="116"/>
        <v>0.15257048092868991</v>
      </c>
      <c r="J433" s="20">
        <v>3</v>
      </c>
      <c r="K433" s="21" t="s">
        <v>127</v>
      </c>
      <c r="L433" s="18">
        <v>21.7</v>
      </c>
      <c r="M433" s="22">
        <v>19.3</v>
      </c>
      <c r="N433" s="17">
        <f t="shared" si="117"/>
        <v>0.12435233160621761</v>
      </c>
      <c r="O433" s="17">
        <f t="shared" si="118"/>
        <v>0.13664987405541559</v>
      </c>
      <c r="P433" s="17">
        <f t="shared" si="119"/>
        <v>0.14511278195488722</v>
      </c>
    </row>
    <row r="434" spans="1:16" ht="14" customHeight="1" x14ac:dyDescent="0.25">
      <c r="A434" s="154"/>
      <c r="B434" s="20">
        <v>4</v>
      </c>
      <c r="C434" s="21" t="s">
        <v>128</v>
      </c>
      <c r="D434" s="18">
        <f>L435-L452</f>
        <v>3.2</v>
      </c>
      <c r="E434" s="18">
        <f>M435-M452</f>
        <v>3</v>
      </c>
      <c r="F434" s="17">
        <f t="shared" si="114"/>
        <v>6.6666666666666652E-2</v>
      </c>
      <c r="G434" s="17">
        <f t="shared" si="115"/>
        <v>4.8192771084337345E-2</v>
      </c>
      <c r="H434" s="17">
        <f t="shared" si="116"/>
        <v>4.975124378109453E-2</v>
      </c>
      <c r="J434" s="20">
        <v>4</v>
      </c>
      <c r="K434" s="21" t="s">
        <v>72</v>
      </c>
      <c r="L434" s="18">
        <v>9.3000000000000007</v>
      </c>
      <c r="M434" s="18">
        <v>11.9</v>
      </c>
      <c r="N434" s="17">
        <f t="shared" si="117"/>
        <v>-0.21848739495798319</v>
      </c>
      <c r="O434" s="17">
        <f t="shared" si="118"/>
        <v>5.8564231738035266E-2</v>
      </c>
      <c r="P434" s="17">
        <f t="shared" si="119"/>
        <v>8.9473684210526316E-2</v>
      </c>
    </row>
    <row r="435" spans="1:16" ht="14" customHeight="1" x14ac:dyDescent="0.25">
      <c r="A435" s="154"/>
      <c r="B435" s="20">
        <v>5</v>
      </c>
      <c r="C435" s="21" t="s">
        <v>72</v>
      </c>
      <c r="D435" s="18">
        <f>L434-L451</f>
        <v>3.1000000000000005</v>
      </c>
      <c r="E435" s="18">
        <f>M434-M451</f>
        <v>4.8000000000000007</v>
      </c>
      <c r="F435" s="17">
        <f t="shared" si="114"/>
        <v>-0.35416666666666663</v>
      </c>
      <c r="G435" s="17">
        <f t="shared" si="115"/>
        <v>4.6686746987951812E-2</v>
      </c>
      <c r="H435" s="17">
        <f t="shared" si="116"/>
        <v>7.9601990049751256E-2</v>
      </c>
      <c r="J435" s="20">
        <v>5</v>
      </c>
      <c r="K435" s="21" t="s">
        <v>128</v>
      </c>
      <c r="L435" s="18">
        <v>8.4</v>
      </c>
      <c r="M435" s="18">
        <v>6.5</v>
      </c>
      <c r="N435" s="17">
        <f t="shared" si="117"/>
        <v>0.29230769230769238</v>
      </c>
      <c r="O435" s="17">
        <f t="shared" si="118"/>
        <v>5.2896725440806043E-2</v>
      </c>
      <c r="P435" s="17">
        <f t="shared" si="119"/>
        <v>4.8872180451127817E-2</v>
      </c>
    </row>
    <row r="436" spans="1:16" ht="14" customHeight="1" x14ac:dyDescent="0.25">
      <c r="A436" s="154"/>
      <c r="B436" s="20">
        <v>6</v>
      </c>
      <c r="C436" s="21" t="s">
        <v>25</v>
      </c>
      <c r="D436" s="18">
        <f>L436-L453</f>
        <v>3.0999999999999996</v>
      </c>
      <c r="E436" s="18">
        <f>M436-M453</f>
        <v>2.5999999999999996</v>
      </c>
      <c r="F436" s="17">
        <f t="shared" si="114"/>
        <v>0.19230769230769229</v>
      </c>
      <c r="G436" s="17">
        <f t="shared" si="115"/>
        <v>4.6686746987951798E-2</v>
      </c>
      <c r="H436" s="17">
        <f t="shared" si="116"/>
        <v>4.3117744610281922E-2</v>
      </c>
      <c r="J436" s="20">
        <v>6</v>
      </c>
      <c r="K436" s="21" t="s">
        <v>25</v>
      </c>
      <c r="L436" s="18">
        <v>7.3</v>
      </c>
      <c r="M436" s="18">
        <v>7.1</v>
      </c>
      <c r="N436" s="17">
        <f t="shared" si="117"/>
        <v>2.8169014084507005E-2</v>
      </c>
      <c r="O436" s="17">
        <f t="shared" si="118"/>
        <v>4.5969773299748107E-2</v>
      </c>
      <c r="P436" s="17">
        <f t="shared" si="119"/>
        <v>5.338345864661654E-2</v>
      </c>
    </row>
    <row r="437" spans="1:16" ht="14" customHeight="1" x14ac:dyDescent="0.25">
      <c r="A437" s="154"/>
      <c r="B437" s="20">
        <v>7</v>
      </c>
      <c r="C437" s="21" t="s">
        <v>71</v>
      </c>
      <c r="D437" s="18">
        <f>L437-L454</f>
        <v>2.6999999999999997</v>
      </c>
      <c r="E437" s="18">
        <f>M437-M454</f>
        <v>3.1</v>
      </c>
      <c r="F437" s="17">
        <f t="shared" si="114"/>
        <v>-0.12903225806451624</v>
      </c>
      <c r="G437" s="17">
        <f t="shared" si="115"/>
        <v>4.0662650602409631E-2</v>
      </c>
      <c r="H437" s="17">
        <f t="shared" si="116"/>
        <v>5.140961857379768E-2</v>
      </c>
      <c r="J437" s="20">
        <v>7</v>
      </c>
      <c r="K437" s="21" t="s">
        <v>71</v>
      </c>
      <c r="L437" s="18">
        <v>6.3</v>
      </c>
      <c r="M437" s="18">
        <v>5.7</v>
      </c>
      <c r="N437" s="17">
        <f t="shared" si="117"/>
        <v>0.10526315789473673</v>
      </c>
      <c r="O437" s="17">
        <f t="shared" si="118"/>
        <v>3.9672544080604527E-2</v>
      </c>
      <c r="P437" s="17">
        <f t="shared" si="119"/>
        <v>4.2857142857142858E-2</v>
      </c>
    </row>
    <row r="438" spans="1:16" ht="14" customHeight="1" x14ac:dyDescent="0.25">
      <c r="A438" s="154"/>
      <c r="B438" s="20">
        <v>8</v>
      </c>
      <c r="C438" s="21" t="s">
        <v>73</v>
      </c>
      <c r="D438" s="18">
        <f>L438-L456</f>
        <v>1.9000000000000001</v>
      </c>
      <c r="E438" s="18">
        <f>M438-M456</f>
        <v>1.0999999999999999</v>
      </c>
      <c r="F438" s="17">
        <f t="shared" si="114"/>
        <v>0.72727272727272751</v>
      </c>
      <c r="G438" s="17">
        <f t="shared" si="115"/>
        <v>2.86144578313253E-2</v>
      </c>
      <c r="H438" s="17">
        <f t="shared" si="116"/>
        <v>1.824212271973466E-2</v>
      </c>
      <c r="J438" s="20">
        <v>8</v>
      </c>
      <c r="K438" s="21" t="s">
        <v>73</v>
      </c>
      <c r="L438" s="18">
        <v>3.6</v>
      </c>
      <c r="M438" s="18">
        <v>2.4</v>
      </c>
      <c r="N438" s="17">
        <f t="shared" si="117"/>
        <v>0.5</v>
      </c>
      <c r="O438" s="17">
        <f t="shared" si="118"/>
        <v>2.2670025188916875E-2</v>
      </c>
      <c r="P438" s="17">
        <f t="shared" si="119"/>
        <v>1.8045112781954885E-2</v>
      </c>
    </row>
    <row r="439" spans="1:16" ht="14" customHeight="1" x14ac:dyDescent="0.25">
      <c r="A439" s="154"/>
      <c r="B439" s="20">
        <v>9</v>
      </c>
      <c r="C439" s="21" t="s">
        <v>70</v>
      </c>
      <c r="D439" s="18">
        <f>L439-L455</f>
        <v>1.5999999999999999</v>
      </c>
      <c r="E439" s="18">
        <f>M439-M455</f>
        <v>1.5999999999999999</v>
      </c>
      <c r="F439" s="17">
        <f t="shared" si="114"/>
        <v>0</v>
      </c>
      <c r="G439" s="17">
        <f t="shared" si="115"/>
        <v>2.4096385542168669E-2</v>
      </c>
      <c r="H439" s="17">
        <f t="shared" si="116"/>
        <v>2.6533996683250415E-2</v>
      </c>
      <c r="J439" s="20">
        <v>9</v>
      </c>
      <c r="K439" s="21" t="s">
        <v>70</v>
      </c>
      <c r="L439" s="18">
        <v>3.4</v>
      </c>
      <c r="M439" s="18">
        <v>2.9</v>
      </c>
      <c r="N439" s="17">
        <f t="shared" si="117"/>
        <v>0.17241379310344818</v>
      </c>
      <c r="O439" s="17">
        <f t="shared" si="118"/>
        <v>2.1410579345088158E-2</v>
      </c>
      <c r="P439" s="17">
        <f t="shared" si="119"/>
        <v>2.180451127819549E-2</v>
      </c>
    </row>
    <row r="440" spans="1:16" ht="14" customHeight="1" x14ac:dyDescent="0.25">
      <c r="A440" s="154"/>
      <c r="B440" s="20">
        <v>10</v>
      </c>
      <c r="C440" s="21" t="s">
        <v>74</v>
      </c>
      <c r="D440" s="18">
        <f t="shared" ref="D440:E442" si="120">L440-L457</f>
        <v>1.1000000000000001</v>
      </c>
      <c r="E440" s="18">
        <f t="shared" si="120"/>
        <v>0.24985835694050995</v>
      </c>
      <c r="F440" s="17">
        <f t="shared" si="114"/>
        <v>3.4024943310657596</v>
      </c>
      <c r="G440" s="17">
        <f t="shared" si="115"/>
        <v>1.6566265060240965E-2</v>
      </c>
      <c r="H440" s="17">
        <f t="shared" si="116"/>
        <v>4.1435880089636806E-3</v>
      </c>
      <c r="J440" s="20">
        <v>10</v>
      </c>
      <c r="K440" s="21" t="s">
        <v>74</v>
      </c>
      <c r="L440" s="18">
        <v>2.7</v>
      </c>
      <c r="M440" s="18">
        <f>L440/(N440+1)</f>
        <v>0.84985835694050993</v>
      </c>
      <c r="N440" s="17">
        <v>2.177</v>
      </c>
      <c r="O440" s="17">
        <f t="shared" si="118"/>
        <v>1.7002518891687659E-2</v>
      </c>
      <c r="P440" s="17">
        <f t="shared" si="119"/>
        <v>6.3899124581993224E-3</v>
      </c>
    </row>
    <row r="441" spans="1:16" ht="14" customHeight="1" x14ac:dyDescent="0.25">
      <c r="A441" s="154"/>
      <c r="B441" s="15"/>
      <c r="C441" s="15" t="s">
        <v>105</v>
      </c>
      <c r="D441" s="18">
        <f t="shared" si="120"/>
        <v>5.4</v>
      </c>
      <c r="E441" s="18">
        <f t="shared" si="120"/>
        <v>3.4501416430594789</v>
      </c>
      <c r="F441" s="17">
        <f t="shared" si="114"/>
        <v>0.56515313244109233</v>
      </c>
      <c r="G441" s="17">
        <f t="shared" si="115"/>
        <v>8.1325301204819275E-2</v>
      </c>
      <c r="H441" s="17">
        <f t="shared" si="116"/>
        <v>5.7216279321052721E-2</v>
      </c>
      <c r="J441" s="15"/>
      <c r="K441" s="15" t="s">
        <v>105</v>
      </c>
      <c r="L441" s="18">
        <v>13.4</v>
      </c>
      <c r="M441" s="18">
        <f>M442-SUM(M431:M440)</f>
        <v>8.2501416430594787</v>
      </c>
      <c r="N441" s="17">
        <f>L441/M441-1</f>
        <v>0.62421453833739893</v>
      </c>
      <c r="O441" s="17">
        <f t="shared" si="118"/>
        <v>8.4382871536523921E-2</v>
      </c>
      <c r="P441" s="17">
        <f t="shared" si="119"/>
        <v>6.2031140173379538E-2</v>
      </c>
    </row>
    <row r="442" spans="1:16" ht="14" customHeight="1" x14ac:dyDescent="0.25">
      <c r="A442" s="154"/>
      <c r="B442" s="15" t="s">
        <v>130</v>
      </c>
      <c r="C442" s="15"/>
      <c r="D442" s="18">
        <f t="shared" si="120"/>
        <v>66.400000000000006</v>
      </c>
      <c r="E442" s="18">
        <f t="shared" si="120"/>
        <v>60.3</v>
      </c>
      <c r="F442" s="17">
        <f t="shared" si="114"/>
        <v>0.1011608623548923</v>
      </c>
      <c r="G442" s="17">
        <f t="shared" si="115"/>
        <v>1</v>
      </c>
      <c r="H442" s="17">
        <f t="shared" si="116"/>
        <v>1</v>
      </c>
      <c r="J442" s="15" t="s">
        <v>130</v>
      </c>
      <c r="K442" s="15"/>
      <c r="L442" s="18">
        <v>158.80000000000001</v>
      </c>
      <c r="M442" s="15">
        <v>133</v>
      </c>
      <c r="N442" s="17">
        <f>L442/M442-1</f>
        <v>0.19398496240601504</v>
      </c>
      <c r="O442" s="17">
        <f t="shared" si="118"/>
        <v>1</v>
      </c>
      <c r="P442" s="17">
        <f t="shared" si="119"/>
        <v>1</v>
      </c>
    </row>
    <row r="443" spans="1:16" ht="14" customHeight="1" x14ac:dyDescent="0.25">
      <c r="A443" s="154"/>
      <c r="B443" s="15"/>
      <c r="C443" s="15"/>
      <c r="D443" s="18"/>
      <c r="E443" s="18"/>
      <c r="F443" s="17"/>
      <c r="G443" s="17"/>
      <c r="H443" s="51"/>
      <c r="J443" s="10"/>
      <c r="K443" s="11"/>
      <c r="L443" s="11"/>
      <c r="M443" s="11"/>
      <c r="N443" s="11"/>
      <c r="O443" s="11"/>
      <c r="P443" s="11"/>
    </row>
    <row r="444" spans="1:16" ht="14" customHeight="1" x14ac:dyDescent="0.25">
      <c r="A444" s="154"/>
      <c r="B444" s="15"/>
      <c r="F444" s="17"/>
      <c r="G444" s="17"/>
      <c r="H444" s="51"/>
      <c r="J444" s="10"/>
      <c r="L444" s="11"/>
      <c r="M444" s="11"/>
      <c r="N444" s="11"/>
      <c r="O444" s="11"/>
      <c r="P444" s="11"/>
    </row>
    <row r="445" spans="1:16" ht="14" customHeight="1" x14ac:dyDescent="0.25">
      <c r="J445" s="10"/>
      <c r="K445" s="11"/>
      <c r="L445" s="11"/>
      <c r="M445" s="11"/>
      <c r="N445" s="11"/>
      <c r="O445" s="11"/>
      <c r="P445" s="11"/>
    </row>
    <row r="446" spans="1:16" ht="14" customHeight="1" x14ac:dyDescent="0.25">
      <c r="A446" s="154"/>
      <c r="B446" s="11" t="s">
        <v>167</v>
      </c>
      <c r="C446" s="11"/>
      <c r="D446" s="11"/>
      <c r="E446" s="11"/>
      <c r="F446" s="11"/>
      <c r="G446" s="11"/>
      <c r="H446" s="11"/>
      <c r="J446" s="10" t="s">
        <v>168</v>
      </c>
      <c r="K446" s="11"/>
      <c r="L446" s="11"/>
      <c r="M446" s="11"/>
      <c r="N446" s="11"/>
      <c r="O446" s="11"/>
      <c r="P446" s="11"/>
    </row>
    <row r="447" spans="1:16" ht="14" customHeight="1" x14ac:dyDescent="0.25">
      <c r="A447" s="154"/>
      <c r="B447" s="11" t="s">
        <v>96</v>
      </c>
      <c r="C447" s="15" t="s">
        <v>123</v>
      </c>
      <c r="D447" s="19">
        <v>45323</v>
      </c>
      <c r="E447" s="19">
        <v>44958</v>
      </c>
      <c r="F447" s="15" t="s">
        <v>34</v>
      </c>
      <c r="G447" s="15" t="s">
        <v>97</v>
      </c>
      <c r="H447" s="15" t="s">
        <v>124</v>
      </c>
      <c r="J447" s="11" t="s">
        <v>96</v>
      </c>
      <c r="K447" s="15" t="s">
        <v>123</v>
      </c>
      <c r="L447" s="19" t="s">
        <v>169</v>
      </c>
      <c r="M447" s="19" t="s">
        <v>170</v>
      </c>
      <c r="N447" s="15" t="s">
        <v>34</v>
      </c>
      <c r="O447" s="15" t="s">
        <v>97</v>
      </c>
      <c r="P447" s="15" t="s">
        <v>124</v>
      </c>
    </row>
    <row r="448" spans="1:16" ht="14" customHeight="1" x14ac:dyDescent="0.25">
      <c r="A448" s="154"/>
      <c r="B448" s="20">
        <v>1</v>
      </c>
      <c r="C448" s="21" t="s">
        <v>68</v>
      </c>
      <c r="D448" s="18">
        <f>L448-L465</f>
        <v>15</v>
      </c>
      <c r="E448" s="18">
        <f>M448-M465</f>
        <v>13.60154173312068</v>
      </c>
      <c r="F448" s="17">
        <v>0.88100000000000001</v>
      </c>
      <c r="G448" s="17">
        <f>D448/D$459</f>
        <v>0.36674816625916867</v>
      </c>
      <c r="H448" s="51">
        <f>E448/E$459</f>
        <v>0.44595218797116981</v>
      </c>
      <c r="J448" s="20">
        <v>1</v>
      </c>
      <c r="K448" s="21" t="s">
        <v>68</v>
      </c>
      <c r="L448" s="18">
        <v>35.5</v>
      </c>
      <c r="M448" s="18">
        <v>24.5</v>
      </c>
      <c r="N448" s="17">
        <f>L448/M448-1</f>
        <v>0.44897959183673475</v>
      </c>
      <c r="O448" s="17">
        <f>L448/L$459</f>
        <v>0.38419913419913415</v>
      </c>
      <c r="P448" s="51">
        <f>M448/M$459</f>
        <v>0.33700137551581844</v>
      </c>
    </row>
    <row r="449" spans="1:16" ht="14" customHeight="1" x14ac:dyDescent="0.25">
      <c r="A449" s="154"/>
      <c r="B449" s="20">
        <v>2</v>
      </c>
      <c r="C449" s="21" t="s">
        <v>127</v>
      </c>
      <c r="D449" s="18">
        <f>L449-L467</f>
        <v>6.7999999999999989</v>
      </c>
      <c r="E449" s="18">
        <f>M449-M467</f>
        <v>5.7068503350707367</v>
      </c>
      <c r="F449" s="17">
        <v>0.34399999999999997</v>
      </c>
      <c r="G449" s="17">
        <f t="shared" ref="G449:G459" si="121">D449/D$459</f>
        <v>0.16625916870415644</v>
      </c>
      <c r="H449" s="51">
        <f t="shared" ref="H449:H459" si="122">E449/E$459</f>
        <v>0.18710984705149955</v>
      </c>
      <c r="J449" s="20">
        <v>2</v>
      </c>
      <c r="K449" s="21" t="s">
        <v>127</v>
      </c>
      <c r="L449" s="18">
        <v>12.7</v>
      </c>
      <c r="M449" s="18">
        <v>10.1</v>
      </c>
      <c r="N449" s="17">
        <f t="shared" ref="N449:N459" si="123">L449/M449-1</f>
        <v>0.25742574257425743</v>
      </c>
      <c r="O449" s="17">
        <f t="shared" ref="O449:O459" si="124">L449/L$459</f>
        <v>0.13744588744588743</v>
      </c>
      <c r="P449" s="51">
        <f t="shared" ref="P449:P459" si="125">M449/M$459</f>
        <v>0.13892709766162309</v>
      </c>
    </row>
    <row r="450" spans="1:16" ht="14" customHeight="1" x14ac:dyDescent="0.25">
      <c r="A450" s="154"/>
      <c r="B450" s="20">
        <v>3</v>
      </c>
      <c r="C450" s="21" t="s">
        <v>69</v>
      </c>
      <c r="D450" s="18">
        <f>L450-D466</f>
        <v>4.6999999999999993</v>
      </c>
      <c r="E450" s="18">
        <f>M450-M466</f>
        <v>6.9940476190476186</v>
      </c>
      <c r="F450" s="17">
        <v>0.34300000000000003</v>
      </c>
      <c r="G450" s="17">
        <f t="shared" si="121"/>
        <v>0.11491442542787282</v>
      </c>
      <c r="H450" s="51">
        <f t="shared" si="122"/>
        <v>0.22931303669008585</v>
      </c>
      <c r="J450" s="20">
        <v>3</v>
      </c>
      <c r="K450" s="21" t="s">
        <v>69</v>
      </c>
      <c r="L450" s="18">
        <v>12.1</v>
      </c>
      <c r="M450" s="18">
        <v>12.5</v>
      </c>
      <c r="N450" s="17">
        <f t="shared" si="123"/>
        <v>-3.2000000000000028E-2</v>
      </c>
      <c r="O450" s="17">
        <f t="shared" si="124"/>
        <v>0.13095238095238093</v>
      </c>
      <c r="P450" s="51">
        <f t="shared" si="125"/>
        <v>0.17193947730398898</v>
      </c>
    </row>
    <row r="451" spans="1:16" ht="14" customHeight="1" x14ac:dyDescent="0.25">
      <c r="A451" s="154"/>
      <c r="B451" s="20">
        <v>4</v>
      </c>
      <c r="C451" s="21" t="s">
        <v>72</v>
      </c>
      <c r="D451" s="18">
        <f t="shared" ref="D451:D455" si="126">L451-L468</f>
        <v>3.2</v>
      </c>
      <c r="E451" s="18">
        <f t="shared" ref="E451:E459" si="127">M451-M468</f>
        <v>3.7740576496674056</v>
      </c>
      <c r="F451" s="17">
        <v>-9.8000000000000004E-2</v>
      </c>
      <c r="G451" s="17">
        <f t="shared" si="121"/>
        <v>7.823960880195599E-2</v>
      </c>
      <c r="H451" s="51">
        <f t="shared" si="122"/>
        <v>0.12373959507106248</v>
      </c>
      <c r="J451" s="20">
        <v>4</v>
      </c>
      <c r="K451" s="21" t="s">
        <v>72</v>
      </c>
      <c r="L451" s="18">
        <v>6.2</v>
      </c>
      <c r="M451" s="18">
        <v>7.1</v>
      </c>
      <c r="N451" s="17">
        <f t="shared" si="123"/>
        <v>-0.12676056338028163</v>
      </c>
      <c r="O451" s="17">
        <f t="shared" si="124"/>
        <v>6.7099567099567103E-2</v>
      </c>
      <c r="P451" s="51">
        <f t="shared" si="125"/>
        <v>9.7661623108665746E-2</v>
      </c>
    </row>
    <row r="452" spans="1:16" ht="14" customHeight="1" x14ac:dyDescent="0.25">
      <c r="A452" s="154"/>
      <c r="B452" s="20">
        <v>5</v>
      </c>
      <c r="C452" s="21" t="s">
        <v>128</v>
      </c>
      <c r="D452" s="18">
        <f t="shared" si="126"/>
        <v>2.7</v>
      </c>
      <c r="E452" s="18">
        <f t="shared" si="127"/>
        <v>1.7674982674982676</v>
      </c>
      <c r="F452" s="17">
        <v>0.443</v>
      </c>
      <c r="G452" s="17">
        <f t="shared" si="121"/>
        <v>6.6014669926650366E-2</v>
      </c>
      <c r="H452" s="51">
        <f t="shared" si="122"/>
        <v>5.7950762868795656E-2</v>
      </c>
      <c r="J452" s="20">
        <v>5</v>
      </c>
      <c r="K452" s="21" t="s">
        <v>128</v>
      </c>
      <c r="L452" s="18">
        <v>5.2</v>
      </c>
      <c r="M452" s="18">
        <v>3.5</v>
      </c>
      <c r="N452" s="17">
        <f t="shared" si="123"/>
        <v>0.48571428571428577</v>
      </c>
      <c r="O452" s="17">
        <f t="shared" si="124"/>
        <v>5.6277056277056273E-2</v>
      </c>
      <c r="P452" s="51">
        <f t="shared" si="125"/>
        <v>4.8143053645116916E-2</v>
      </c>
    </row>
    <row r="453" spans="1:16" ht="14" customHeight="1" x14ac:dyDescent="0.25">
      <c r="A453" s="154"/>
      <c r="B453" s="20">
        <v>6</v>
      </c>
      <c r="C453" s="21" t="s">
        <v>25</v>
      </c>
      <c r="D453" s="18">
        <f t="shared" si="126"/>
        <v>2.1</v>
      </c>
      <c r="E453" s="18">
        <f t="shared" si="127"/>
        <v>2.7367758186397984</v>
      </c>
      <c r="F453" s="17">
        <v>0.191</v>
      </c>
      <c r="G453" s="17">
        <f t="shared" si="121"/>
        <v>5.1344743276283612E-2</v>
      </c>
      <c r="H453" s="51">
        <f t="shared" si="122"/>
        <v>8.9730354709501581E-2</v>
      </c>
      <c r="J453" s="20">
        <v>6</v>
      </c>
      <c r="K453" s="21" t="s">
        <v>25</v>
      </c>
      <c r="L453" s="18">
        <v>4.2</v>
      </c>
      <c r="M453" s="18">
        <v>4.5</v>
      </c>
      <c r="N453" s="17">
        <f t="shared" si="123"/>
        <v>-6.6666666666666652E-2</v>
      </c>
      <c r="O453" s="17">
        <f t="shared" si="124"/>
        <v>4.5454545454545456E-2</v>
      </c>
      <c r="P453" s="51">
        <f t="shared" si="125"/>
        <v>6.1898211829436035E-2</v>
      </c>
    </row>
    <row r="454" spans="1:16" ht="14" customHeight="1" x14ac:dyDescent="0.25">
      <c r="A454" s="154"/>
      <c r="B454" s="20">
        <v>7</v>
      </c>
      <c r="C454" s="21" t="s">
        <v>71</v>
      </c>
      <c r="D454" s="18">
        <f t="shared" si="126"/>
        <v>1.6</v>
      </c>
      <c r="E454" s="18">
        <f t="shared" si="127"/>
        <v>1.8038216560509555</v>
      </c>
      <c r="F454" s="17">
        <v>1.512</v>
      </c>
      <c r="G454" s="17">
        <f t="shared" si="121"/>
        <v>3.9119804400977995E-2</v>
      </c>
      <c r="H454" s="51">
        <f t="shared" si="122"/>
        <v>5.9141693641014931E-2</v>
      </c>
      <c r="J454" s="20">
        <v>7</v>
      </c>
      <c r="K454" s="21" t="s">
        <v>71</v>
      </c>
      <c r="L454" s="18">
        <v>3.6</v>
      </c>
      <c r="M454" s="18">
        <v>2.6</v>
      </c>
      <c r="N454" s="17">
        <f t="shared" si="123"/>
        <v>0.38461538461538458</v>
      </c>
      <c r="O454" s="17">
        <f t="shared" si="124"/>
        <v>3.896103896103896E-2</v>
      </c>
      <c r="P454" s="51">
        <f t="shared" si="125"/>
        <v>3.5763411279229711E-2</v>
      </c>
    </row>
    <row r="455" spans="1:16" ht="14" customHeight="1" x14ac:dyDescent="0.25">
      <c r="A455" s="154"/>
      <c r="B455" s="20">
        <v>8</v>
      </c>
      <c r="C455" s="21" t="s">
        <v>70</v>
      </c>
      <c r="D455" s="18">
        <f t="shared" si="126"/>
        <v>0.40000000000000013</v>
      </c>
      <c r="E455" s="18">
        <f t="shared" si="127"/>
        <v>0.71932807963500633</v>
      </c>
      <c r="F455" s="17">
        <v>1.411</v>
      </c>
      <c r="G455" s="17">
        <f t="shared" si="121"/>
        <v>9.7799511002445005E-3</v>
      </c>
      <c r="H455" s="51">
        <f t="shared" si="122"/>
        <v>2.3584527201147749E-2</v>
      </c>
      <c r="J455" s="20">
        <v>8</v>
      </c>
      <c r="K455" s="21" t="s">
        <v>70</v>
      </c>
      <c r="L455" s="18">
        <v>1.8</v>
      </c>
      <c r="M455" s="18">
        <v>1.3</v>
      </c>
      <c r="N455" s="17">
        <f t="shared" si="123"/>
        <v>0.38461538461538458</v>
      </c>
      <c r="O455" s="17">
        <f t="shared" si="124"/>
        <v>1.948051948051948E-2</v>
      </c>
      <c r="P455" s="51">
        <f t="shared" si="125"/>
        <v>1.7881705639614855E-2</v>
      </c>
    </row>
    <row r="456" spans="1:16" ht="14" customHeight="1" x14ac:dyDescent="0.25">
      <c r="A456" s="154"/>
      <c r="B456" s="20">
        <v>9</v>
      </c>
      <c r="C456" s="21" t="s">
        <v>73</v>
      </c>
      <c r="D456" s="18">
        <f>L456-D474</f>
        <v>0.79999999999999993</v>
      </c>
      <c r="E456" s="18">
        <f>M456-M474</f>
        <v>0.67369519832985392</v>
      </c>
      <c r="F456" s="17">
        <v>3.81</v>
      </c>
      <c r="G456" s="17">
        <f t="shared" si="121"/>
        <v>1.9559902200488994E-2</v>
      </c>
      <c r="H456" s="51">
        <f t="shared" si="122"/>
        <v>2.2088367158355868E-2</v>
      </c>
      <c r="J456" s="20">
        <v>9</v>
      </c>
      <c r="K456" s="21" t="s">
        <v>73</v>
      </c>
      <c r="L456" s="18">
        <v>1.7</v>
      </c>
      <c r="M456" s="18">
        <v>1.3</v>
      </c>
      <c r="N456" s="17">
        <f t="shared" si="123"/>
        <v>0.30769230769230771</v>
      </c>
      <c r="O456" s="17">
        <f t="shared" si="124"/>
        <v>1.8398268398268396E-2</v>
      </c>
      <c r="P456" s="51">
        <f t="shared" si="125"/>
        <v>1.7881705639614855E-2</v>
      </c>
    </row>
    <row r="457" spans="1:16" ht="14" customHeight="1" x14ac:dyDescent="0.25">
      <c r="A457" s="154"/>
      <c r="B457" s="20">
        <v>10</v>
      </c>
      <c r="C457" s="21" t="s">
        <v>74</v>
      </c>
      <c r="D457" s="18">
        <f>L457-D473</f>
        <v>0.5</v>
      </c>
      <c r="E457" s="18">
        <f>M457-M473</f>
        <v>0.37130977130977127</v>
      </c>
      <c r="F457" s="17">
        <v>0.437</v>
      </c>
      <c r="G457" s="17">
        <f t="shared" si="121"/>
        <v>1.2224938875305623E-2</v>
      </c>
      <c r="H457" s="51">
        <f t="shared" si="122"/>
        <v>1.2174090862615452E-2</v>
      </c>
      <c r="J457" s="20">
        <v>10</v>
      </c>
      <c r="K457" s="21" t="s">
        <v>74</v>
      </c>
      <c r="L457" s="18">
        <v>1.6</v>
      </c>
      <c r="M457" s="18">
        <v>0.6</v>
      </c>
      <c r="N457" s="17">
        <f t="shared" si="123"/>
        <v>1.666666666666667</v>
      </c>
      <c r="O457" s="17">
        <f t="shared" si="124"/>
        <v>1.7316017316017316E-2</v>
      </c>
      <c r="P457" s="51">
        <f t="shared" si="125"/>
        <v>8.253094910591471E-3</v>
      </c>
    </row>
    <row r="458" spans="1:16" ht="14" customHeight="1" x14ac:dyDescent="0.25">
      <c r="A458" s="154"/>
      <c r="B458" s="15"/>
      <c r="C458" s="15" t="s">
        <v>105</v>
      </c>
      <c r="D458" s="18">
        <v>4.7</v>
      </c>
      <c r="E458" s="18">
        <f t="shared" si="127"/>
        <v>-7.5489261283700992</v>
      </c>
      <c r="F458" s="17">
        <f>D458/E458-1</f>
        <v>-1.6226051123134762</v>
      </c>
      <c r="G458" s="17">
        <f t="shared" si="121"/>
        <v>0.11491442542787285</v>
      </c>
      <c r="H458" s="51">
        <f t="shared" si="122"/>
        <v>-0.24750577470065899</v>
      </c>
      <c r="J458" s="15"/>
      <c r="K458" s="15" t="s">
        <v>105</v>
      </c>
      <c r="L458" s="18">
        <v>8</v>
      </c>
      <c r="M458" s="18">
        <v>4.8</v>
      </c>
      <c r="N458" s="17">
        <f t="shared" si="123"/>
        <v>0.66666666666666674</v>
      </c>
      <c r="O458" s="17">
        <f t="shared" si="124"/>
        <v>8.6580086580086577E-2</v>
      </c>
      <c r="P458" s="51">
        <f t="shared" si="125"/>
        <v>6.6024759284731768E-2</v>
      </c>
    </row>
    <row r="459" spans="1:16" ht="14" customHeight="1" x14ac:dyDescent="0.25">
      <c r="A459" s="154"/>
      <c r="B459" s="15" t="s">
        <v>130</v>
      </c>
      <c r="C459" s="15"/>
      <c r="D459" s="18">
        <f>L459-L476</f>
        <v>40.900000000000006</v>
      </c>
      <c r="E459" s="18">
        <f t="shared" si="127"/>
        <v>30.5</v>
      </c>
      <c r="F459" s="17">
        <f>D459/E459-1</f>
        <v>0.34098360655737725</v>
      </c>
      <c r="G459" s="17">
        <f t="shared" si="121"/>
        <v>1</v>
      </c>
      <c r="H459" s="51">
        <f t="shared" si="122"/>
        <v>1</v>
      </c>
      <c r="J459" s="15" t="s">
        <v>130</v>
      </c>
      <c r="K459" s="15"/>
      <c r="L459" s="18">
        <v>92.4</v>
      </c>
      <c r="M459" s="18">
        <v>72.7</v>
      </c>
      <c r="N459" s="17">
        <f t="shared" si="123"/>
        <v>0.27097661623108671</v>
      </c>
      <c r="O459" s="17">
        <f t="shared" si="124"/>
        <v>1</v>
      </c>
      <c r="P459" s="51">
        <f t="shared" si="125"/>
        <v>1</v>
      </c>
    </row>
    <row r="460" spans="1:16" ht="14" customHeight="1" x14ac:dyDescent="0.25">
      <c r="A460" s="154"/>
      <c r="B460" s="11"/>
      <c r="C460" s="11"/>
      <c r="D460" s="11"/>
      <c r="E460" s="11"/>
      <c r="F460" s="11"/>
      <c r="G460" s="11"/>
      <c r="H460" s="11"/>
      <c r="J460" s="10"/>
      <c r="K460" s="11"/>
      <c r="L460" s="11"/>
      <c r="M460" s="11"/>
      <c r="N460" s="11"/>
      <c r="O460" s="11"/>
      <c r="P460" s="11"/>
    </row>
    <row r="461" spans="1:16" ht="14" customHeight="1" x14ac:dyDescent="0.25">
      <c r="A461" s="154"/>
      <c r="B461" s="11"/>
      <c r="C461" s="11"/>
      <c r="D461" s="11"/>
      <c r="E461" s="11"/>
      <c r="F461" s="11"/>
      <c r="G461" s="11"/>
      <c r="H461" s="11"/>
      <c r="J461" s="10"/>
      <c r="K461" s="11"/>
      <c r="L461" s="11"/>
      <c r="M461" s="11"/>
      <c r="N461" s="11"/>
      <c r="O461" s="11"/>
      <c r="P461" s="11"/>
    </row>
    <row r="462" spans="1:16" ht="14" customHeight="1" x14ac:dyDescent="0.25">
      <c r="A462" s="154"/>
      <c r="B462" s="11"/>
      <c r="C462" s="11"/>
      <c r="D462" s="11"/>
      <c r="E462" s="11"/>
      <c r="F462" s="11"/>
      <c r="G462" s="11"/>
      <c r="H462" s="11"/>
      <c r="J462" s="10"/>
      <c r="K462" s="11"/>
      <c r="L462" s="11"/>
      <c r="M462" s="11"/>
      <c r="N462" s="11"/>
      <c r="O462" s="11"/>
      <c r="P462" s="11"/>
    </row>
    <row r="463" spans="1:16" ht="14" customHeight="1" x14ac:dyDescent="0.25">
      <c r="A463" s="154"/>
      <c r="B463" s="11" t="s">
        <v>171</v>
      </c>
      <c r="C463" s="11"/>
      <c r="D463" s="11"/>
      <c r="E463" s="11"/>
      <c r="F463" s="11"/>
      <c r="G463" s="11"/>
      <c r="H463" s="11"/>
      <c r="J463" s="10" t="s">
        <v>171</v>
      </c>
      <c r="K463" s="11"/>
      <c r="L463" s="11"/>
      <c r="M463" s="11"/>
      <c r="N463" s="11"/>
      <c r="O463" s="11"/>
      <c r="P463" s="11"/>
    </row>
    <row r="464" spans="1:16" ht="14" customHeight="1" x14ac:dyDescent="0.25">
      <c r="A464" s="154"/>
      <c r="B464" s="11" t="s">
        <v>96</v>
      </c>
      <c r="C464" s="15" t="s">
        <v>123</v>
      </c>
      <c r="D464" s="19">
        <v>45292</v>
      </c>
      <c r="E464" s="19">
        <v>44927</v>
      </c>
      <c r="F464" s="15" t="s">
        <v>34</v>
      </c>
      <c r="G464" s="15" t="s">
        <v>97</v>
      </c>
      <c r="H464" s="15" t="s">
        <v>124</v>
      </c>
      <c r="J464" s="11" t="s">
        <v>96</v>
      </c>
      <c r="K464" s="15" t="s">
        <v>123</v>
      </c>
      <c r="L464" s="19">
        <v>45292</v>
      </c>
      <c r="M464" s="19">
        <v>44927</v>
      </c>
      <c r="N464" s="15" t="s">
        <v>34</v>
      </c>
      <c r="O464" s="15" t="s">
        <v>97</v>
      </c>
      <c r="P464" s="15" t="s">
        <v>124</v>
      </c>
    </row>
    <row r="465" spans="1:16" ht="14" customHeight="1" x14ac:dyDescent="0.25">
      <c r="A465" s="154"/>
      <c r="B465" s="20">
        <v>1</v>
      </c>
      <c r="C465" s="15" t="s">
        <v>98</v>
      </c>
      <c r="D465" s="18">
        <v>20.5</v>
      </c>
      <c r="E465" s="18">
        <f>D465/(1+F465)</f>
        <v>10.89845826687932</v>
      </c>
      <c r="F465" s="17">
        <v>0.88100000000000001</v>
      </c>
      <c r="G465" s="17">
        <f>D465/D$476</f>
        <v>0.39805825242718446</v>
      </c>
      <c r="H465" s="51">
        <f>E465/E$476</f>
        <v>0.25825730490235355</v>
      </c>
      <c r="J465" s="20">
        <v>1</v>
      </c>
      <c r="K465" s="15" t="s">
        <v>98</v>
      </c>
      <c r="L465" s="18">
        <v>20.5</v>
      </c>
      <c r="M465" s="18">
        <f t="shared" ref="M465:M474" si="128">L465/(1+N465)</f>
        <v>10.89845826687932</v>
      </c>
      <c r="N465" s="17">
        <v>0.88100000000000001</v>
      </c>
      <c r="O465" s="17">
        <f t="shared" ref="O465:O476" si="129">L465/L$476</f>
        <v>0.39805825242718446</v>
      </c>
      <c r="P465" s="51">
        <f t="shared" ref="P465:P476" si="130">M465/M$476</f>
        <v>0.25825730490235355</v>
      </c>
    </row>
    <row r="466" spans="1:16" ht="14" customHeight="1" x14ac:dyDescent="0.25">
      <c r="A466" s="154"/>
      <c r="B466" s="20">
        <v>2</v>
      </c>
      <c r="C466" s="15" t="s">
        <v>99</v>
      </c>
      <c r="D466" s="18">
        <v>7.4</v>
      </c>
      <c r="E466" s="18">
        <f t="shared" ref="E466:E474" si="131">D466/(1+F466)</f>
        <v>5.5059523809523814</v>
      </c>
      <c r="F466" s="17">
        <v>0.34399999999999997</v>
      </c>
      <c r="G466" s="17">
        <f t="shared" ref="G466:G476" si="132">D466/D$476</f>
        <v>0.14368932038834953</v>
      </c>
      <c r="H466" s="51">
        <f t="shared" ref="H466:H476" si="133">E466/E$476</f>
        <v>0.1304728052358384</v>
      </c>
      <c r="J466" s="20">
        <v>2</v>
      </c>
      <c r="K466" s="15" t="s">
        <v>99</v>
      </c>
      <c r="L466" s="18">
        <v>7.4</v>
      </c>
      <c r="M466" s="18">
        <f t="shared" si="128"/>
        <v>5.5059523809523814</v>
      </c>
      <c r="N466" s="17">
        <v>0.34399999999999997</v>
      </c>
      <c r="O466" s="17">
        <f t="shared" si="129"/>
        <v>0.14368932038834953</v>
      </c>
      <c r="P466" s="51">
        <f t="shared" si="130"/>
        <v>0.1304728052358384</v>
      </c>
    </row>
    <row r="467" spans="1:16" ht="14" customHeight="1" x14ac:dyDescent="0.25">
      <c r="A467" s="154"/>
      <c r="B467" s="20">
        <v>3</v>
      </c>
      <c r="C467" s="15" t="s">
        <v>172</v>
      </c>
      <c r="D467" s="18">
        <v>5.9</v>
      </c>
      <c r="E467" s="18">
        <f t="shared" si="131"/>
        <v>4.393149664929263</v>
      </c>
      <c r="F467" s="17">
        <v>0.34300000000000003</v>
      </c>
      <c r="G467" s="17">
        <f t="shared" si="132"/>
        <v>0.11456310679611652</v>
      </c>
      <c r="H467" s="51">
        <f t="shared" si="133"/>
        <v>0.10410307262865551</v>
      </c>
      <c r="J467" s="20">
        <v>3</v>
      </c>
      <c r="K467" s="15" t="s">
        <v>172</v>
      </c>
      <c r="L467" s="18">
        <v>5.9</v>
      </c>
      <c r="M467" s="18">
        <f t="shared" si="128"/>
        <v>4.393149664929263</v>
      </c>
      <c r="N467" s="17">
        <v>0.34300000000000003</v>
      </c>
      <c r="O467" s="17">
        <f t="shared" si="129"/>
        <v>0.11456310679611652</v>
      </c>
      <c r="P467" s="51">
        <f t="shared" si="130"/>
        <v>0.10410307262865551</v>
      </c>
    </row>
    <row r="468" spans="1:16" ht="14" customHeight="1" x14ac:dyDescent="0.25">
      <c r="A468" s="154"/>
      <c r="B468" s="20">
        <v>4</v>
      </c>
      <c r="C468" s="15" t="s">
        <v>102</v>
      </c>
      <c r="D468" s="18">
        <v>3</v>
      </c>
      <c r="E468" s="18">
        <f t="shared" si="131"/>
        <v>3.325942350332594</v>
      </c>
      <c r="F468" s="17">
        <v>-9.8000000000000004E-2</v>
      </c>
      <c r="G468" s="17">
        <f t="shared" si="132"/>
        <v>5.8252427184466021E-2</v>
      </c>
      <c r="H468" s="51">
        <f t="shared" si="133"/>
        <v>7.8813799770914544E-2</v>
      </c>
      <c r="J468" s="20">
        <v>4</v>
      </c>
      <c r="K468" s="15" t="s">
        <v>102</v>
      </c>
      <c r="L468" s="18">
        <v>3</v>
      </c>
      <c r="M468" s="18">
        <f t="shared" si="128"/>
        <v>3.325942350332594</v>
      </c>
      <c r="N468" s="17">
        <v>-9.8000000000000004E-2</v>
      </c>
      <c r="O468" s="17">
        <f t="shared" si="129"/>
        <v>5.8252427184466021E-2</v>
      </c>
      <c r="P468" s="51">
        <f t="shared" si="130"/>
        <v>7.8813799770914544E-2</v>
      </c>
    </row>
    <row r="469" spans="1:16" ht="14" customHeight="1" x14ac:dyDescent="0.25">
      <c r="A469" s="154"/>
      <c r="B469" s="20">
        <v>5</v>
      </c>
      <c r="C469" s="15" t="s">
        <v>173</v>
      </c>
      <c r="D469" s="18">
        <v>2.5</v>
      </c>
      <c r="E469" s="18">
        <f t="shared" si="131"/>
        <v>1.7325017325017324</v>
      </c>
      <c r="F469" s="17">
        <v>0.443</v>
      </c>
      <c r="G469" s="17">
        <f t="shared" si="132"/>
        <v>4.8543689320388349E-2</v>
      </c>
      <c r="H469" s="51">
        <f t="shared" si="133"/>
        <v>4.1054543424211665E-2</v>
      </c>
      <c r="J469" s="20">
        <v>5</v>
      </c>
      <c r="K469" s="15" t="s">
        <v>173</v>
      </c>
      <c r="L469" s="18">
        <v>2.5</v>
      </c>
      <c r="M469" s="18">
        <f t="shared" si="128"/>
        <v>1.7325017325017324</v>
      </c>
      <c r="N469" s="17">
        <v>0.443</v>
      </c>
      <c r="O469" s="17">
        <f t="shared" si="129"/>
        <v>4.8543689320388349E-2</v>
      </c>
      <c r="P469" s="51">
        <f t="shared" si="130"/>
        <v>4.1054543424211665E-2</v>
      </c>
    </row>
    <row r="470" spans="1:16" ht="14" customHeight="1" x14ac:dyDescent="0.25">
      <c r="A470" s="154"/>
      <c r="B470" s="20">
        <v>6</v>
      </c>
      <c r="C470" s="15" t="s">
        <v>25</v>
      </c>
      <c r="D470" s="18">
        <v>2.1</v>
      </c>
      <c r="E470" s="18">
        <f t="shared" si="131"/>
        <v>1.7632241813602014</v>
      </c>
      <c r="F470" s="17">
        <v>0.191</v>
      </c>
      <c r="G470" s="17">
        <f t="shared" si="132"/>
        <v>4.0776699029126215E-2</v>
      </c>
      <c r="H470" s="51">
        <f t="shared" si="133"/>
        <v>4.1782563539341261E-2</v>
      </c>
      <c r="J470" s="20">
        <v>6</v>
      </c>
      <c r="K470" s="15" t="s">
        <v>25</v>
      </c>
      <c r="L470" s="18">
        <v>2.1</v>
      </c>
      <c r="M470" s="18">
        <f t="shared" si="128"/>
        <v>1.7632241813602014</v>
      </c>
      <c r="N470" s="17">
        <v>0.191</v>
      </c>
      <c r="O470" s="17">
        <f t="shared" si="129"/>
        <v>4.0776699029126215E-2</v>
      </c>
      <c r="P470" s="51">
        <f t="shared" si="130"/>
        <v>4.1782563539341261E-2</v>
      </c>
    </row>
    <row r="471" spans="1:16" ht="14" customHeight="1" x14ac:dyDescent="0.25">
      <c r="A471" s="154"/>
      <c r="B471" s="20">
        <v>7</v>
      </c>
      <c r="C471" s="15" t="s">
        <v>100</v>
      </c>
      <c r="D471" s="18">
        <v>2</v>
      </c>
      <c r="E471" s="18">
        <f t="shared" si="131"/>
        <v>0.79617834394904463</v>
      </c>
      <c r="F471" s="17">
        <v>1.512</v>
      </c>
      <c r="G471" s="17">
        <f t="shared" si="132"/>
        <v>3.8834951456310676E-2</v>
      </c>
      <c r="H471" s="51">
        <f t="shared" si="133"/>
        <v>1.8866785401636128E-2</v>
      </c>
      <c r="J471" s="20">
        <v>7</v>
      </c>
      <c r="K471" s="15" t="s">
        <v>100</v>
      </c>
      <c r="L471" s="18">
        <v>2</v>
      </c>
      <c r="M471" s="18">
        <f t="shared" si="128"/>
        <v>0.79617834394904463</v>
      </c>
      <c r="N471" s="17">
        <v>1.512</v>
      </c>
      <c r="O471" s="17">
        <f t="shared" si="129"/>
        <v>3.8834951456310676E-2</v>
      </c>
      <c r="P471" s="51">
        <f t="shared" si="130"/>
        <v>1.8866785401636128E-2</v>
      </c>
    </row>
    <row r="472" spans="1:16" ht="14" customHeight="1" x14ac:dyDescent="0.25">
      <c r="A472" s="154"/>
      <c r="B472" s="20">
        <v>8</v>
      </c>
      <c r="C472" s="15" t="s">
        <v>101</v>
      </c>
      <c r="D472" s="18">
        <v>1.4</v>
      </c>
      <c r="E472" s="18">
        <f t="shared" si="131"/>
        <v>0.58067192036499371</v>
      </c>
      <c r="F472" s="17">
        <v>1.411</v>
      </c>
      <c r="G472" s="17">
        <f t="shared" si="132"/>
        <v>2.7184466019417475E-2</v>
      </c>
      <c r="H472" s="51">
        <f t="shared" si="133"/>
        <v>1.3759998112914541E-2</v>
      </c>
      <c r="J472" s="20">
        <v>8</v>
      </c>
      <c r="K472" s="15" t="s">
        <v>101</v>
      </c>
      <c r="L472" s="18">
        <v>1.4</v>
      </c>
      <c r="M472" s="18">
        <f t="shared" si="128"/>
        <v>0.58067192036499371</v>
      </c>
      <c r="N472" s="17">
        <v>1.411</v>
      </c>
      <c r="O472" s="17">
        <f t="shared" si="129"/>
        <v>2.7184466019417475E-2</v>
      </c>
      <c r="P472" s="51">
        <f t="shared" si="130"/>
        <v>1.3759998112914541E-2</v>
      </c>
    </row>
    <row r="473" spans="1:16" ht="14" customHeight="1" x14ac:dyDescent="0.25">
      <c r="A473" s="154"/>
      <c r="B473" s="20">
        <v>9</v>
      </c>
      <c r="C473" s="15" t="s">
        <v>104</v>
      </c>
      <c r="D473" s="18">
        <v>1.1000000000000001</v>
      </c>
      <c r="E473" s="18">
        <f t="shared" si="131"/>
        <v>0.22869022869022868</v>
      </c>
      <c r="F473" s="17">
        <v>3.81</v>
      </c>
      <c r="G473" s="17">
        <f t="shared" si="132"/>
        <v>2.1359223300970877E-2</v>
      </c>
      <c r="H473" s="51">
        <f t="shared" si="133"/>
        <v>5.41919973199594E-3</v>
      </c>
      <c r="J473" s="20">
        <v>9</v>
      </c>
      <c r="K473" s="15" t="s">
        <v>104</v>
      </c>
      <c r="L473" s="18">
        <v>1.1000000000000001</v>
      </c>
      <c r="M473" s="18">
        <f t="shared" si="128"/>
        <v>0.22869022869022868</v>
      </c>
      <c r="N473" s="17">
        <v>3.81</v>
      </c>
      <c r="O473" s="17">
        <f t="shared" si="129"/>
        <v>2.1359223300970877E-2</v>
      </c>
      <c r="P473" s="51">
        <f t="shared" si="130"/>
        <v>5.41919973199594E-3</v>
      </c>
    </row>
    <row r="474" spans="1:16" ht="14" customHeight="1" x14ac:dyDescent="0.25">
      <c r="A474" s="154"/>
      <c r="B474" s="20">
        <v>10</v>
      </c>
      <c r="C474" s="15" t="s">
        <v>103</v>
      </c>
      <c r="D474" s="18">
        <v>0.9</v>
      </c>
      <c r="E474" s="18">
        <f t="shared" si="131"/>
        <v>0.62630480167014613</v>
      </c>
      <c r="F474" s="17">
        <v>0.437</v>
      </c>
      <c r="G474" s="17">
        <f t="shared" si="132"/>
        <v>1.7475728155339806E-2</v>
      </c>
      <c r="H474" s="51">
        <f t="shared" si="133"/>
        <v>1.4841346011140902E-2</v>
      </c>
      <c r="J474" s="20">
        <v>10</v>
      </c>
      <c r="K474" s="15" t="s">
        <v>103</v>
      </c>
      <c r="L474" s="18">
        <v>0.9</v>
      </c>
      <c r="M474" s="18">
        <f t="shared" si="128"/>
        <v>0.62630480167014613</v>
      </c>
      <c r="N474" s="17">
        <v>0.437</v>
      </c>
      <c r="O474" s="17">
        <f t="shared" si="129"/>
        <v>1.7475728155339806E-2</v>
      </c>
      <c r="P474" s="51">
        <f t="shared" si="130"/>
        <v>1.4841346011140902E-2</v>
      </c>
    </row>
    <row r="475" spans="1:16" ht="14" customHeight="1" x14ac:dyDescent="0.25">
      <c r="A475" s="154"/>
      <c r="B475" s="15"/>
      <c r="C475" s="15" t="s">
        <v>105</v>
      </c>
      <c r="D475" s="18">
        <v>4.7</v>
      </c>
      <c r="E475" s="18">
        <f>E476-SUM(E465:E474)</f>
        <v>12.348926128370099</v>
      </c>
      <c r="F475" s="17">
        <f>D475/E475-1</f>
        <v>-0.61940010401371315</v>
      </c>
      <c r="G475" s="17">
        <f t="shared" si="132"/>
        <v>9.1262135922330095E-2</v>
      </c>
      <c r="H475" s="51">
        <f t="shared" si="133"/>
        <v>0.29262858124099761</v>
      </c>
      <c r="J475" s="15"/>
      <c r="K475" s="15" t="s">
        <v>105</v>
      </c>
      <c r="L475" s="18">
        <v>4.7</v>
      </c>
      <c r="M475" s="18">
        <f>M476-SUM(M465:M474)</f>
        <v>12.348926128370099</v>
      </c>
      <c r="N475" s="17">
        <f>L475/M475-1</f>
        <v>-0.61940010401371315</v>
      </c>
      <c r="O475" s="17">
        <f t="shared" si="129"/>
        <v>9.1262135922330095E-2</v>
      </c>
      <c r="P475" s="51">
        <f t="shared" si="130"/>
        <v>0.29262858124099761</v>
      </c>
    </row>
    <row r="476" spans="1:16" ht="14" customHeight="1" x14ac:dyDescent="0.25">
      <c r="A476" s="154"/>
      <c r="B476" s="15" t="s">
        <v>130</v>
      </c>
      <c r="C476" s="15"/>
      <c r="D476" s="18">
        <v>51.5</v>
      </c>
      <c r="E476" s="18">
        <v>42.2</v>
      </c>
      <c r="F476" s="17">
        <f>D476/E476-1</f>
        <v>0.22037914691943117</v>
      </c>
      <c r="G476" s="17">
        <f t="shared" si="132"/>
        <v>1</v>
      </c>
      <c r="H476" s="51">
        <f t="shared" si="133"/>
        <v>1</v>
      </c>
      <c r="J476" s="15" t="s">
        <v>130</v>
      </c>
      <c r="K476" s="15"/>
      <c r="L476" s="18">
        <v>51.5</v>
      </c>
      <c r="M476" s="18">
        <v>42.2</v>
      </c>
      <c r="N476" s="17">
        <f>L476/M476-1</f>
        <v>0.22037914691943117</v>
      </c>
      <c r="O476" s="17">
        <f t="shared" si="129"/>
        <v>1</v>
      </c>
      <c r="P476" s="51">
        <f t="shared" si="130"/>
        <v>1</v>
      </c>
    </row>
    <row r="477" spans="1:16" ht="14" customHeight="1" x14ac:dyDescent="0.25">
      <c r="A477" s="154"/>
      <c r="B477" s="11"/>
      <c r="C477" s="11"/>
      <c r="D477" s="11"/>
      <c r="E477" s="11"/>
      <c r="F477" s="11"/>
      <c r="G477" s="11"/>
      <c r="H477" s="11"/>
      <c r="J477" s="10"/>
      <c r="K477" s="11"/>
      <c r="L477" s="11"/>
      <c r="M477" s="11"/>
      <c r="N477" s="11"/>
      <c r="O477" s="11"/>
      <c r="P477" s="11"/>
    </row>
    <row r="478" spans="1:16" ht="14" customHeight="1" x14ac:dyDescent="0.25">
      <c r="A478" s="154"/>
      <c r="B478" s="11"/>
      <c r="C478" s="11"/>
      <c r="D478" s="11"/>
      <c r="E478" s="11"/>
      <c r="F478" s="11"/>
      <c r="G478" s="11"/>
      <c r="H478" s="11"/>
      <c r="J478" s="10"/>
      <c r="K478" s="11"/>
      <c r="L478" s="11"/>
      <c r="M478" s="11"/>
      <c r="N478" s="11"/>
      <c r="O478" s="11"/>
      <c r="P478" s="11"/>
    </row>
    <row r="479" spans="1:16" ht="14" customHeight="1" x14ac:dyDescent="0.25">
      <c r="A479" s="154"/>
      <c r="B479" s="11"/>
      <c r="C479" s="11"/>
      <c r="D479" s="11"/>
      <c r="E479" s="11"/>
      <c r="F479" s="11"/>
      <c r="G479" s="11"/>
      <c r="H479" s="11"/>
      <c r="J479" s="10"/>
      <c r="K479" s="11"/>
      <c r="L479" s="11"/>
      <c r="M479" s="11"/>
      <c r="N479" s="11"/>
      <c r="O479" s="11"/>
      <c r="P479" s="11"/>
    </row>
    <row r="480" spans="1:16" ht="14" customHeight="1" x14ac:dyDescent="0.25">
      <c r="A480" s="154"/>
      <c r="B480" s="11" t="s">
        <v>174</v>
      </c>
      <c r="C480" s="11"/>
      <c r="D480" s="11"/>
      <c r="E480" s="11"/>
      <c r="F480" s="11"/>
      <c r="G480" s="11"/>
      <c r="H480" s="11"/>
      <c r="J480" s="10" t="s">
        <v>175</v>
      </c>
      <c r="K480" s="11"/>
      <c r="L480" s="11"/>
      <c r="M480" s="11"/>
      <c r="N480" s="11"/>
      <c r="O480" s="11"/>
      <c r="P480" s="11"/>
    </row>
    <row r="481" spans="1:16" ht="14" customHeight="1" x14ac:dyDescent="0.25">
      <c r="A481" s="154"/>
      <c r="B481" s="11" t="s">
        <v>96</v>
      </c>
      <c r="C481" s="15" t="s">
        <v>123</v>
      </c>
      <c r="D481" s="19">
        <v>45261</v>
      </c>
      <c r="E481" s="19">
        <v>44896</v>
      </c>
      <c r="F481" s="15" t="s">
        <v>34</v>
      </c>
      <c r="G481" s="15" t="s">
        <v>124</v>
      </c>
      <c r="H481" s="15" t="s">
        <v>176</v>
      </c>
      <c r="J481" s="11" t="s">
        <v>96</v>
      </c>
      <c r="K481" s="15" t="s">
        <v>123</v>
      </c>
      <c r="L481" s="19" t="s">
        <v>177</v>
      </c>
      <c r="M481" s="19" t="s">
        <v>178</v>
      </c>
      <c r="N481" s="21" t="s">
        <v>34</v>
      </c>
      <c r="O481" s="21" t="s">
        <v>179</v>
      </c>
      <c r="P481" s="21" t="s">
        <v>180</v>
      </c>
    </row>
    <row r="482" spans="1:16" ht="14" customHeight="1" x14ac:dyDescent="0.25">
      <c r="A482" s="154"/>
      <c r="B482" s="20">
        <v>1</v>
      </c>
      <c r="C482" s="15" t="s">
        <v>98</v>
      </c>
      <c r="D482" s="18">
        <f>L482-L499</f>
        <v>26.299999999999983</v>
      </c>
      <c r="E482" s="18">
        <f>M482-M499</f>
        <v>27</v>
      </c>
      <c r="F482" s="17">
        <f>D482/E482-1</f>
        <v>-2.5925925925926574E-2</v>
      </c>
      <c r="G482" s="17">
        <f>D482/D$493</f>
        <v>0.32429099876695405</v>
      </c>
      <c r="H482" s="51">
        <f>E482/E$493</f>
        <v>0.39301310043668131</v>
      </c>
      <c r="J482" s="11">
        <v>1</v>
      </c>
      <c r="K482" s="15" t="s">
        <v>98</v>
      </c>
      <c r="L482" s="18">
        <v>259.7</v>
      </c>
      <c r="M482" s="18">
        <v>184.4</v>
      </c>
      <c r="N482" s="51">
        <f>L482/M482-1</f>
        <v>0.40835140997830788</v>
      </c>
      <c r="O482" s="51">
        <f>L482/$L$493</f>
        <v>0.36810772501771793</v>
      </c>
      <c r="P482" s="51">
        <f>M482/$M$493</f>
        <v>0.36213668499607227</v>
      </c>
    </row>
    <row r="483" spans="1:16" ht="14" customHeight="1" x14ac:dyDescent="0.25">
      <c r="A483" s="154"/>
      <c r="B483" s="20">
        <v>2</v>
      </c>
      <c r="C483" s="15" t="s">
        <v>99</v>
      </c>
      <c r="D483" s="18">
        <f t="shared" ref="D483:D493" si="134">L483-L500</f>
        <v>13.100000000000009</v>
      </c>
      <c r="E483" s="18">
        <f t="shared" ref="E483:E493" si="135">M483-M500</f>
        <v>9.2000000000000028</v>
      </c>
      <c r="F483" s="17">
        <f t="shared" ref="F483:F493" si="136">D483/E483-1</f>
        <v>0.42391304347826142</v>
      </c>
      <c r="G483" s="17">
        <f t="shared" ref="G483:G493" si="137">D483/D$493</f>
        <v>0.16152897657213322</v>
      </c>
      <c r="H483" s="51">
        <f t="shared" ref="H483:H493" si="138">E483/E$493</f>
        <v>0.13391557496360995</v>
      </c>
      <c r="J483" s="11">
        <v>2</v>
      </c>
      <c r="K483" s="15" t="s">
        <v>99</v>
      </c>
      <c r="L483" s="18">
        <v>111.4</v>
      </c>
      <c r="M483" s="18">
        <v>70.5</v>
      </c>
      <c r="N483" s="51">
        <v>0.57899999999999996</v>
      </c>
      <c r="O483" s="51">
        <f t="shared" ref="O483:O493" si="139">L483/$L$493</f>
        <v>0.15790219702338767</v>
      </c>
      <c r="P483" s="51">
        <f t="shared" ref="P483:P493" si="140">M483/$M$493</f>
        <v>0.13845247446975648</v>
      </c>
    </row>
    <row r="484" spans="1:16" ht="14" customHeight="1" x14ac:dyDescent="0.25">
      <c r="A484" s="154"/>
      <c r="B484" s="20">
        <v>3</v>
      </c>
      <c r="C484" s="15" t="s">
        <v>172</v>
      </c>
      <c r="D484" s="18">
        <f t="shared" si="134"/>
        <v>11</v>
      </c>
      <c r="E484" s="18">
        <f t="shared" si="135"/>
        <v>11.799999999999997</v>
      </c>
      <c r="F484" s="17">
        <f t="shared" si="136"/>
        <v>-6.7796610169491345E-2</v>
      </c>
      <c r="G484" s="17">
        <f t="shared" si="137"/>
        <v>0.1356350184956843</v>
      </c>
      <c r="H484" s="51">
        <f t="shared" si="138"/>
        <v>0.1717612809315866</v>
      </c>
      <c r="J484" s="11">
        <v>3</v>
      </c>
      <c r="K484" s="15" t="s">
        <v>172</v>
      </c>
      <c r="L484" s="22">
        <v>95.8</v>
      </c>
      <c r="M484" s="22">
        <v>71.599999999999994</v>
      </c>
      <c r="N484" s="51">
        <f>L484/M484-1</f>
        <v>0.33798882681564257</v>
      </c>
      <c r="O484" s="51">
        <f t="shared" si="139"/>
        <v>0.13579021970233876</v>
      </c>
      <c r="P484" s="51">
        <f t="shared" si="140"/>
        <v>0.14061272584446188</v>
      </c>
    </row>
    <row r="485" spans="1:16" ht="14" customHeight="1" x14ac:dyDescent="0.25">
      <c r="A485" s="154"/>
      <c r="B485" s="20">
        <v>4</v>
      </c>
      <c r="C485" s="15" t="s">
        <v>102</v>
      </c>
      <c r="D485" s="18">
        <f t="shared" si="134"/>
        <v>4.6000000000000014</v>
      </c>
      <c r="E485" s="18">
        <f t="shared" si="135"/>
        <v>3.9000000000000021</v>
      </c>
      <c r="F485" s="17">
        <f t="shared" si="136"/>
        <v>0.17948717948717929</v>
      </c>
      <c r="G485" s="17">
        <f t="shared" si="137"/>
        <v>5.6720098643649818E-2</v>
      </c>
      <c r="H485" s="51">
        <f t="shared" si="138"/>
        <v>5.6768558951965108E-2</v>
      </c>
      <c r="J485" s="11">
        <v>4</v>
      </c>
      <c r="K485" s="15" t="s">
        <v>102</v>
      </c>
      <c r="L485" s="18">
        <v>44.9</v>
      </c>
      <c r="M485" s="18">
        <v>35.6</v>
      </c>
      <c r="N485" s="51">
        <v>0.26</v>
      </c>
      <c r="O485" s="51">
        <f t="shared" si="139"/>
        <v>6.3642806520198436E-2</v>
      </c>
      <c r="P485" s="51">
        <f t="shared" si="140"/>
        <v>6.9913589945011789E-2</v>
      </c>
    </row>
    <row r="486" spans="1:16" ht="14" customHeight="1" x14ac:dyDescent="0.25">
      <c r="A486" s="154"/>
      <c r="B486" s="20">
        <v>5</v>
      </c>
      <c r="C486" s="15" t="s">
        <v>25</v>
      </c>
      <c r="D486" s="18">
        <f t="shared" si="134"/>
        <v>3.5</v>
      </c>
      <c r="E486" s="18">
        <f t="shared" si="135"/>
        <v>2.8000000000000007</v>
      </c>
      <c r="F486" s="17">
        <f t="shared" si="136"/>
        <v>0.24999999999999978</v>
      </c>
      <c r="G486" s="17">
        <f t="shared" si="137"/>
        <v>4.3156596794081369E-2</v>
      </c>
      <c r="H486" s="51">
        <f t="shared" si="138"/>
        <v>4.0756914119359548E-2</v>
      </c>
      <c r="J486" s="11">
        <v>5</v>
      </c>
      <c r="K486" s="15" t="s">
        <v>25</v>
      </c>
      <c r="L486" s="18">
        <v>34.4</v>
      </c>
      <c r="M486" s="18">
        <v>30.1</v>
      </c>
      <c r="N486" s="51">
        <v>0.14399999999999999</v>
      </c>
      <c r="O486" s="51">
        <f t="shared" si="139"/>
        <v>4.8759744861800139E-2</v>
      </c>
      <c r="P486" s="51">
        <f t="shared" si="140"/>
        <v>5.9112333071484689E-2</v>
      </c>
    </row>
    <row r="487" spans="1:16" ht="14" customHeight="1" x14ac:dyDescent="0.25">
      <c r="A487" s="154"/>
      <c r="B487" s="20">
        <v>6</v>
      </c>
      <c r="C487" s="15" t="s">
        <v>100</v>
      </c>
      <c r="D487" s="18">
        <f t="shared" si="134"/>
        <v>4.2999999999999972</v>
      </c>
      <c r="E487" s="18">
        <f t="shared" si="135"/>
        <v>1.8000000000000007</v>
      </c>
      <c r="F487" s="17">
        <f t="shared" si="136"/>
        <v>1.3888888888888862</v>
      </c>
      <c r="G487" s="17">
        <f t="shared" si="137"/>
        <v>5.302096177558565E-2</v>
      </c>
      <c r="H487" s="51">
        <f t="shared" si="138"/>
        <v>2.6200873362445431E-2</v>
      </c>
      <c r="J487" s="11">
        <v>6</v>
      </c>
      <c r="K487" s="15" t="s">
        <v>100</v>
      </c>
      <c r="L487" s="18">
        <v>33.4</v>
      </c>
      <c r="M487" s="18">
        <v>18.5</v>
      </c>
      <c r="N487" s="51">
        <f>80.9%</f>
        <v>0.80900000000000005</v>
      </c>
      <c r="O487" s="51">
        <f t="shared" si="139"/>
        <v>4.7342310418143158E-2</v>
      </c>
      <c r="P487" s="51">
        <f t="shared" si="140"/>
        <v>3.6331500392772977E-2</v>
      </c>
    </row>
    <row r="488" spans="1:16" ht="14" customHeight="1" x14ac:dyDescent="0.25">
      <c r="A488" s="154"/>
      <c r="B488" s="20">
        <v>7</v>
      </c>
      <c r="C488" s="15" t="s">
        <v>173</v>
      </c>
      <c r="D488" s="18">
        <f t="shared" si="134"/>
        <v>4.4000000000000021</v>
      </c>
      <c r="E488" s="18">
        <f t="shared" si="135"/>
        <v>3.5</v>
      </c>
      <c r="F488" s="17">
        <f t="shared" si="136"/>
        <v>0.25714285714285778</v>
      </c>
      <c r="G488" s="17">
        <f t="shared" si="137"/>
        <v>5.4254007398273747E-2</v>
      </c>
      <c r="H488" s="51">
        <f t="shared" si="138"/>
        <v>5.0946142649199423E-2</v>
      </c>
      <c r="J488" s="11">
        <v>7</v>
      </c>
      <c r="K488" s="15" t="s">
        <v>173</v>
      </c>
      <c r="L488" s="18">
        <v>32.6</v>
      </c>
      <c r="M488" s="18">
        <v>23.9</v>
      </c>
      <c r="N488" s="51">
        <v>0.36099999999999999</v>
      </c>
      <c r="O488" s="51">
        <f t="shared" si="139"/>
        <v>4.6208362863217577E-2</v>
      </c>
      <c r="P488" s="51">
        <f t="shared" si="140"/>
        <v>4.6936370777690493E-2</v>
      </c>
    </row>
    <row r="489" spans="1:16" ht="14" customHeight="1" x14ac:dyDescent="0.25">
      <c r="A489" s="154"/>
      <c r="B489" s="20">
        <v>8</v>
      </c>
      <c r="C489" s="15" t="s">
        <v>101</v>
      </c>
      <c r="D489" s="18">
        <f t="shared" si="134"/>
        <v>2.2000000000000011</v>
      </c>
      <c r="E489" s="18">
        <f t="shared" si="135"/>
        <v>1.3000000000000007</v>
      </c>
      <c r="F489" s="17">
        <f t="shared" si="136"/>
        <v>0.69230769230769229</v>
      </c>
      <c r="G489" s="17">
        <f t="shared" si="137"/>
        <v>2.7127003699136874E-2</v>
      </c>
      <c r="H489" s="51">
        <f t="shared" si="138"/>
        <v>1.892285298398837E-2</v>
      </c>
      <c r="J489" s="11">
        <v>8</v>
      </c>
      <c r="K489" s="15" t="s">
        <v>101</v>
      </c>
      <c r="L489" s="18">
        <v>17.100000000000001</v>
      </c>
      <c r="M489" s="18">
        <v>13.9</v>
      </c>
      <c r="N489" s="51">
        <v>0.23100000000000001</v>
      </c>
      <c r="O489" s="51">
        <f t="shared" si="139"/>
        <v>2.4238128986534376E-2</v>
      </c>
      <c r="P489" s="51">
        <f t="shared" si="140"/>
        <v>2.7297721916732132E-2</v>
      </c>
    </row>
    <row r="490" spans="1:16" ht="14" customHeight="1" x14ac:dyDescent="0.25">
      <c r="A490" s="154"/>
      <c r="B490" s="20">
        <v>9</v>
      </c>
      <c r="C490" s="15" t="s">
        <v>103</v>
      </c>
      <c r="D490" s="18">
        <f t="shared" si="134"/>
        <v>2.7999999999999989</v>
      </c>
      <c r="E490" s="18">
        <f t="shared" si="135"/>
        <v>1.2000000000000002</v>
      </c>
      <c r="F490" s="17">
        <f t="shared" si="136"/>
        <v>1.3333333333333321</v>
      </c>
      <c r="G490" s="17">
        <f t="shared" si="137"/>
        <v>3.4525277435265081E-2</v>
      </c>
      <c r="H490" s="51">
        <f t="shared" si="138"/>
        <v>1.7467248908296949E-2</v>
      </c>
      <c r="J490" s="11">
        <v>9</v>
      </c>
      <c r="K490" s="15" t="s">
        <v>103</v>
      </c>
      <c r="L490" s="18">
        <v>16.2</v>
      </c>
      <c r="M490" s="18">
        <v>7</v>
      </c>
      <c r="N490" s="51">
        <v>1.298</v>
      </c>
      <c r="O490" s="51">
        <f t="shared" si="139"/>
        <v>2.2962437987243088E-2</v>
      </c>
      <c r="P490" s="51">
        <f t="shared" si="140"/>
        <v>1.3747054202670857E-2</v>
      </c>
    </row>
    <row r="491" spans="1:16" ht="14" customHeight="1" x14ac:dyDescent="0.25">
      <c r="A491" s="154"/>
      <c r="B491" s="20">
        <v>10</v>
      </c>
      <c r="C491" s="15" t="s">
        <v>181</v>
      </c>
      <c r="D491" s="18">
        <f t="shared" si="134"/>
        <v>1.5999999999999996</v>
      </c>
      <c r="E491" s="18">
        <f t="shared" si="135"/>
        <v>2.8</v>
      </c>
      <c r="F491" s="17">
        <f t="shared" si="136"/>
        <v>-0.42857142857142871</v>
      </c>
      <c r="G491" s="17">
        <f t="shared" si="137"/>
        <v>1.9728729963008621E-2</v>
      </c>
      <c r="H491" s="51">
        <f t="shared" si="138"/>
        <v>4.0756914119359541E-2</v>
      </c>
      <c r="J491" s="15">
        <v>10</v>
      </c>
      <c r="K491" s="15" t="s">
        <v>181</v>
      </c>
      <c r="L491" s="18">
        <v>10.5</v>
      </c>
      <c r="M491" s="18">
        <v>9.1</v>
      </c>
      <c r="N491" s="51">
        <v>0.15384615384615399</v>
      </c>
      <c r="O491" s="51">
        <f t="shared" si="139"/>
        <v>1.4883061658398299E-2</v>
      </c>
      <c r="P491" s="51">
        <f t="shared" si="140"/>
        <v>1.7871170463472114E-2</v>
      </c>
    </row>
    <row r="492" spans="1:16" ht="14" customHeight="1" x14ac:dyDescent="0.25">
      <c r="A492" s="154"/>
      <c r="B492" s="15"/>
      <c r="C492" s="15" t="s">
        <v>105</v>
      </c>
      <c r="D492" s="18">
        <f t="shared" si="134"/>
        <v>7.2999999999999972</v>
      </c>
      <c r="E492" s="18">
        <f t="shared" si="135"/>
        <v>3.1000000000000014</v>
      </c>
      <c r="F492" s="17">
        <f t="shared" si="136"/>
        <v>1.3548387096774173</v>
      </c>
      <c r="G492" s="17">
        <f t="shared" si="137"/>
        <v>9.0012330456226822E-2</v>
      </c>
      <c r="H492" s="51">
        <f t="shared" si="138"/>
        <v>4.5123726346433801E-2</v>
      </c>
      <c r="J492" s="15"/>
      <c r="K492" s="15" t="s">
        <v>105</v>
      </c>
      <c r="L492" s="18">
        <v>49.4</v>
      </c>
      <c r="M492" s="18">
        <v>44.4</v>
      </c>
      <c r="N492" s="51">
        <v>0.112612612612613</v>
      </c>
      <c r="O492" s="51">
        <f t="shared" si="139"/>
        <v>7.0021261516654859E-2</v>
      </c>
      <c r="P492" s="51">
        <f t="shared" si="140"/>
        <v>8.7195600942655146E-2</v>
      </c>
    </row>
    <row r="493" spans="1:16" ht="14" customHeight="1" x14ac:dyDescent="0.25">
      <c r="A493" s="154"/>
      <c r="B493" s="15" t="s">
        <v>130</v>
      </c>
      <c r="C493" s="15"/>
      <c r="D493" s="18">
        <f t="shared" si="134"/>
        <v>81.100000000000023</v>
      </c>
      <c r="E493" s="18">
        <f t="shared" si="135"/>
        <v>68.699999999999989</v>
      </c>
      <c r="F493" s="17">
        <f t="shared" si="136"/>
        <v>0.18049490538573565</v>
      </c>
      <c r="G493" s="17">
        <f t="shared" si="137"/>
        <v>1</v>
      </c>
      <c r="H493" s="51">
        <f t="shared" si="138"/>
        <v>1</v>
      </c>
      <c r="J493" s="15" t="s">
        <v>130</v>
      </c>
      <c r="K493" s="15"/>
      <c r="L493" s="18">
        <v>705.5</v>
      </c>
      <c r="M493" s="18">
        <v>509.2</v>
      </c>
      <c r="N493" s="51">
        <f>L493/M493-1</f>
        <v>0.38550667714061282</v>
      </c>
      <c r="O493" s="51">
        <f t="shared" si="139"/>
        <v>1</v>
      </c>
      <c r="P493" s="51">
        <f t="shared" si="140"/>
        <v>1</v>
      </c>
    </row>
    <row r="494" spans="1:16" ht="14" customHeight="1" x14ac:dyDescent="0.25">
      <c r="A494" s="154"/>
      <c r="B494" s="11"/>
      <c r="C494" s="11"/>
      <c r="D494" s="11"/>
      <c r="E494" s="11"/>
      <c r="F494" s="11"/>
      <c r="G494" s="11"/>
      <c r="H494" s="11"/>
      <c r="J494" s="10"/>
      <c r="K494" s="11"/>
      <c r="L494" s="11"/>
      <c r="M494" s="11"/>
      <c r="N494" s="11"/>
      <c r="O494" s="11"/>
      <c r="P494" s="11"/>
    </row>
    <row r="495" spans="1:16" ht="14" customHeight="1" x14ac:dyDescent="0.25">
      <c r="A495" s="154"/>
      <c r="B495" s="11"/>
      <c r="C495" s="11"/>
      <c r="D495" s="11"/>
      <c r="E495" s="11"/>
      <c r="F495" s="11"/>
      <c r="G495" s="11"/>
      <c r="H495" s="11"/>
      <c r="J495" s="10"/>
      <c r="K495" s="11"/>
      <c r="L495" s="11"/>
      <c r="M495" s="11"/>
      <c r="N495" s="11"/>
      <c r="O495" s="11"/>
      <c r="P495" s="11"/>
    </row>
    <row r="496" spans="1:16" ht="14" customHeight="1" x14ac:dyDescent="0.25">
      <c r="A496" s="154"/>
      <c r="B496" s="11"/>
      <c r="C496" s="11"/>
      <c r="D496" s="11"/>
      <c r="E496" s="11"/>
      <c r="F496" s="11"/>
      <c r="G496" s="11"/>
      <c r="H496" s="11"/>
      <c r="J496" s="10"/>
      <c r="K496" s="11"/>
      <c r="L496" s="11"/>
      <c r="M496" s="11"/>
      <c r="N496" s="11"/>
      <c r="O496" s="11"/>
      <c r="P496" s="11"/>
    </row>
    <row r="497" spans="1:19" ht="14" customHeight="1" x14ac:dyDescent="0.25">
      <c r="A497" s="154"/>
      <c r="B497" s="11" t="s">
        <v>182</v>
      </c>
      <c r="C497" s="11"/>
      <c r="D497" s="11"/>
      <c r="E497" s="11"/>
      <c r="F497" s="11"/>
      <c r="G497" s="11"/>
      <c r="H497" s="11"/>
      <c r="J497" s="10" t="s">
        <v>183</v>
      </c>
      <c r="K497" s="11"/>
      <c r="L497" s="11"/>
      <c r="M497" s="11"/>
      <c r="N497" s="11"/>
      <c r="O497" s="11"/>
      <c r="P497" s="11"/>
    </row>
    <row r="498" spans="1:19" ht="14" customHeight="1" x14ac:dyDescent="0.25">
      <c r="A498" s="154"/>
      <c r="B498" s="11" t="s">
        <v>96</v>
      </c>
      <c r="C498" s="15" t="s">
        <v>123</v>
      </c>
      <c r="D498" s="19">
        <v>45231</v>
      </c>
      <c r="E498" s="19">
        <v>44866</v>
      </c>
      <c r="F498" s="15" t="s">
        <v>34</v>
      </c>
      <c r="G498" s="15" t="s">
        <v>124</v>
      </c>
      <c r="H498" s="15" t="s">
        <v>176</v>
      </c>
      <c r="J498" s="11" t="s">
        <v>96</v>
      </c>
      <c r="K498" s="15" t="s">
        <v>123</v>
      </c>
      <c r="L498" s="19" t="s">
        <v>134</v>
      </c>
      <c r="M498" s="19" t="s">
        <v>184</v>
      </c>
      <c r="N498" s="21" t="s">
        <v>34</v>
      </c>
      <c r="O498" s="21" t="s">
        <v>179</v>
      </c>
      <c r="P498" s="21" t="s">
        <v>180</v>
      </c>
    </row>
    <row r="499" spans="1:19" ht="14" customHeight="1" x14ac:dyDescent="0.25">
      <c r="A499" s="154"/>
      <c r="B499" s="20">
        <v>1</v>
      </c>
      <c r="C499" s="15" t="s">
        <v>98</v>
      </c>
      <c r="D499" s="18">
        <f>L499-L516</f>
        <v>29.599999999999994</v>
      </c>
      <c r="E499" s="18">
        <f>M499-M516</f>
        <v>22.5</v>
      </c>
      <c r="F499" s="17">
        <f t="shared" ref="F499:F510" si="141">D499/E499-1</f>
        <v>0.31555555555555537</v>
      </c>
      <c r="G499" s="17">
        <f>D499/$D$510</f>
        <v>0.40997229916897537</v>
      </c>
      <c r="H499" s="51">
        <f>E499/$E$510</f>
        <v>0.39404553415061278</v>
      </c>
      <c r="J499" s="11">
        <v>1</v>
      </c>
      <c r="K499" s="15" t="s">
        <v>98</v>
      </c>
      <c r="L499" s="18">
        <v>233.4</v>
      </c>
      <c r="M499" s="18">
        <v>157.4</v>
      </c>
      <c r="N499" s="51">
        <f>L499/M499-1</f>
        <v>0.48284625158831007</v>
      </c>
      <c r="O499" s="51">
        <v>0.374</v>
      </c>
      <c r="P499" s="51">
        <v>0.35699999999999998</v>
      </c>
    </row>
    <row r="500" spans="1:19" ht="14" customHeight="1" x14ac:dyDescent="0.25">
      <c r="A500" s="154"/>
      <c r="B500" s="20">
        <v>2</v>
      </c>
      <c r="C500" s="15" t="s">
        <v>99</v>
      </c>
      <c r="D500" s="18">
        <f t="shared" ref="D500:D507" si="142">L500-L517</f>
        <v>10.799999999999997</v>
      </c>
      <c r="E500" s="18">
        <f t="shared" ref="E500:E507" si="143">M500-M517</f>
        <v>8.7999999999999972</v>
      </c>
      <c r="F500" s="17">
        <f t="shared" si="141"/>
        <v>0.22727272727272729</v>
      </c>
      <c r="G500" s="17">
        <f t="shared" ref="G500:G509" si="144">D500/$D$510</f>
        <v>0.14958448753462614</v>
      </c>
      <c r="H500" s="51">
        <f t="shared" ref="H500:H509" si="145">E500/$E$510</f>
        <v>0.1541155866900174</v>
      </c>
      <c r="J500" s="11">
        <v>2</v>
      </c>
      <c r="K500" s="15" t="s">
        <v>99</v>
      </c>
      <c r="L500" s="18">
        <v>98.3</v>
      </c>
      <c r="M500" s="18">
        <v>61.3</v>
      </c>
      <c r="N500" s="51">
        <f t="shared" ref="N500:N510" si="146">L500/M500-1</f>
        <v>0.60358890701468182</v>
      </c>
      <c r="O500" s="51">
        <v>0.157</v>
      </c>
      <c r="P500" s="51">
        <v>0.13900000000000001</v>
      </c>
    </row>
    <row r="501" spans="1:19" ht="14" customHeight="1" x14ac:dyDescent="0.25">
      <c r="A501" s="154"/>
      <c r="B501" s="20">
        <v>3</v>
      </c>
      <c r="C501" s="15" t="s">
        <v>172</v>
      </c>
      <c r="D501" s="18">
        <f t="shared" si="142"/>
        <v>8.7000000000000028</v>
      </c>
      <c r="E501" s="18">
        <f t="shared" si="143"/>
        <v>8.0999999999999943</v>
      </c>
      <c r="F501" s="17">
        <f t="shared" si="141"/>
        <v>7.4074074074075069E-2</v>
      </c>
      <c r="G501" s="17">
        <f t="shared" si="144"/>
        <v>0.12049861495844891</v>
      </c>
      <c r="H501" s="51">
        <f t="shared" si="145"/>
        <v>0.14185639229422051</v>
      </c>
      <c r="J501" s="11">
        <v>3</v>
      </c>
      <c r="K501" s="15" t="s">
        <v>172</v>
      </c>
      <c r="L501" s="22">
        <v>84.8</v>
      </c>
      <c r="M501" s="22">
        <v>59.8</v>
      </c>
      <c r="N501" s="51">
        <f t="shared" si="146"/>
        <v>0.41806020066889626</v>
      </c>
      <c r="O501" s="51">
        <f>L501/L$510</f>
        <v>0.13581037796284434</v>
      </c>
      <c r="P501" s="51">
        <v>0.13600000000000001</v>
      </c>
    </row>
    <row r="502" spans="1:19" ht="14" customHeight="1" x14ac:dyDescent="0.25">
      <c r="A502" s="154"/>
      <c r="B502" s="20">
        <v>4</v>
      </c>
      <c r="C502" s="15" t="s">
        <v>102</v>
      </c>
      <c r="D502" s="18">
        <f t="shared" si="142"/>
        <v>3</v>
      </c>
      <c r="E502" s="18">
        <f t="shared" si="143"/>
        <v>3.1999999999999993</v>
      </c>
      <c r="F502" s="17">
        <f t="shared" si="141"/>
        <v>-6.2499999999999778E-2</v>
      </c>
      <c r="G502" s="17">
        <f t="shared" si="144"/>
        <v>4.1551246537396162E-2</v>
      </c>
      <c r="H502" s="51">
        <f t="shared" si="145"/>
        <v>5.6042031523642698E-2</v>
      </c>
      <c r="J502" s="11">
        <v>4</v>
      </c>
      <c r="K502" s="15" t="s">
        <v>102</v>
      </c>
      <c r="L502" s="18">
        <v>40.299999999999997</v>
      </c>
      <c r="M502" s="18">
        <v>31.7</v>
      </c>
      <c r="N502" s="51">
        <f t="shared" si="146"/>
        <v>0.27129337539432163</v>
      </c>
      <c r="O502" s="51">
        <f t="shared" ref="O502:O509" si="147">L502/L$510</f>
        <v>6.4541960281870592E-2</v>
      </c>
      <c r="P502" s="51">
        <v>7.1999999999999995E-2</v>
      </c>
    </row>
    <row r="503" spans="1:19" ht="14" customHeight="1" x14ac:dyDescent="0.25">
      <c r="A503" s="154"/>
      <c r="B503" s="20">
        <v>5</v>
      </c>
      <c r="C503" s="15" t="s">
        <v>25</v>
      </c>
      <c r="D503" s="18">
        <f t="shared" si="142"/>
        <v>3</v>
      </c>
      <c r="E503" s="18">
        <f t="shared" si="143"/>
        <v>2.8000000000000007</v>
      </c>
      <c r="F503" s="17">
        <f t="shared" si="141"/>
        <v>7.1428571428571175E-2</v>
      </c>
      <c r="G503" s="17">
        <f t="shared" si="144"/>
        <v>4.1551246537396162E-2</v>
      </c>
      <c r="H503" s="51">
        <f t="shared" si="145"/>
        <v>4.9036777583187384E-2</v>
      </c>
      <c r="J503" s="11">
        <v>5</v>
      </c>
      <c r="K503" s="15" t="s">
        <v>25</v>
      </c>
      <c r="L503" s="18">
        <v>30.9</v>
      </c>
      <c r="M503" s="18">
        <v>27.3</v>
      </c>
      <c r="N503" s="51">
        <f t="shared" si="146"/>
        <v>0.13186813186813184</v>
      </c>
      <c r="O503" s="51">
        <v>0.05</v>
      </c>
      <c r="P503" s="51">
        <v>6.2E-2</v>
      </c>
    </row>
    <row r="504" spans="1:19" ht="14" customHeight="1" x14ac:dyDescent="0.25">
      <c r="A504" s="154"/>
      <c r="B504" s="20">
        <v>6</v>
      </c>
      <c r="C504" s="15" t="s">
        <v>100</v>
      </c>
      <c r="D504" s="18">
        <f t="shared" si="142"/>
        <v>3.2000000000000028</v>
      </c>
      <c r="E504" s="18">
        <f t="shared" si="143"/>
        <v>1.8999999999999986</v>
      </c>
      <c r="F504" s="17">
        <f t="shared" si="141"/>
        <v>0.68421052631579227</v>
      </c>
      <c r="G504" s="17">
        <f t="shared" si="144"/>
        <v>4.432132963988928E-2</v>
      </c>
      <c r="H504" s="51">
        <f t="shared" si="145"/>
        <v>3.3274956217162831E-2</v>
      </c>
      <c r="J504" s="11">
        <v>6</v>
      </c>
      <c r="K504" s="15" t="s">
        <v>100</v>
      </c>
      <c r="L504" s="18">
        <v>29.1</v>
      </c>
      <c r="M504" s="18">
        <v>16.7</v>
      </c>
      <c r="N504" s="51">
        <f t="shared" si="146"/>
        <v>0.74251497005988032</v>
      </c>
      <c r="O504" s="51">
        <f t="shared" si="147"/>
        <v>4.6604740550928898E-2</v>
      </c>
      <c r="P504" s="51">
        <v>3.7999999999999999E-2</v>
      </c>
    </row>
    <row r="505" spans="1:19" ht="14" customHeight="1" x14ac:dyDescent="0.25">
      <c r="A505" s="154"/>
      <c r="B505" s="20">
        <v>7</v>
      </c>
      <c r="C505" s="15" t="s">
        <v>173</v>
      </c>
      <c r="D505" s="18">
        <f t="shared" si="142"/>
        <v>3.0999999999999979</v>
      </c>
      <c r="E505" s="18">
        <f t="shared" si="143"/>
        <v>2.6999999999999993</v>
      </c>
      <c r="F505" s="17">
        <f t="shared" si="141"/>
        <v>0.1481481481481477</v>
      </c>
      <c r="G505" s="17">
        <f t="shared" si="144"/>
        <v>4.2936288088642673E-2</v>
      </c>
      <c r="H505" s="51">
        <f t="shared" si="145"/>
        <v>4.7285464098073521E-2</v>
      </c>
      <c r="J505" s="11">
        <v>7</v>
      </c>
      <c r="K505" s="15" t="s">
        <v>173</v>
      </c>
      <c r="L505" s="18">
        <v>28.2</v>
      </c>
      <c r="M505" s="18">
        <v>20.399999999999999</v>
      </c>
      <c r="N505" s="51">
        <f t="shared" si="146"/>
        <v>0.38235294117647056</v>
      </c>
      <c r="O505" s="51">
        <f t="shared" si="147"/>
        <v>4.5163356822549648E-2</v>
      </c>
      <c r="P505" s="51">
        <v>4.5999999999999999E-2</v>
      </c>
    </row>
    <row r="506" spans="1:19" ht="14" customHeight="1" x14ac:dyDescent="0.25">
      <c r="A506" s="154"/>
      <c r="B506" s="20">
        <v>8</v>
      </c>
      <c r="C506" s="15" t="s">
        <v>101</v>
      </c>
      <c r="D506" s="18">
        <f t="shared" si="142"/>
        <v>1.9000000000000004</v>
      </c>
      <c r="E506" s="18">
        <f t="shared" si="143"/>
        <v>1.4000000000000004</v>
      </c>
      <c r="F506" s="17">
        <f t="shared" si="141"/>
        <v>0.35714285714285698</v>
      </c>
      <c r="G506" s="17">
        <f t="shared" si="144"/>
        <v>2.631578947368424E-2</v>
      </c>
      <c r="H506" s="51">
        <f t="shared" si="145"/>
        <v>2.4518388791593692E-2</v>
      </c>
      <c r="J506" s="11">
        <v>8</v>
      </c>
      <c r="K506" s="15" t="s">
        <v>101</v>
      </c>
      <c r="L506" s="18">
        <v>14.9</v>
      </c>
      <c r="M506" s="18">
        <v>12.6</v>
      </c>
      <c r="N506" s="51">
        <f t="shared" si="146"/>
        <v>0.18253968253968256</v>
      </c>
      <c r="O506" s="51">
        <f t="shared" si="147"/>
        <v>2.3862908392056376E-2</v>
      </c>
      <c r="P506" s="51">
        <v>2.9000000000000001E-2</v>
      </c>
    </row>
    <row r="507" spans="1:19" ht="14" customHeight="1" x14ac:dyDescent="0.25">
      <c r="A507" s="154"/>
      <c r="B507" s="20">
        <v>9</v>
      </c>
      <c r="C507" s="15" t="s">
        <v>103</v>
      </c>
      <c r="D507" s="18">
        <f t="shared" si="142"/>
        <v>1.7000000000000011</v>
      </c>
      <c r="E507" s="18">
        <f t="shared" si="143"/>
        <v>0.70000000000000018</v>
      </c>
      <c r="F507" s="17">
        <f t="shared" si="141"/>
        <v>1.4285714285714293</v>
      </c>
      <c r="G507" s="17">
        <f t="shared" si="144"/>
        <v>2.3545706371191171E-2</v>
      </c>
      <c r="H507" s="51">
        <f t="shared" si="145"/>
        <v>1.2259194395796846E-2</v>
      </c>
      <c r="J507" s="11">
        <v>9</v>
      </c>
      <c r="K507" s="15" t="s">
        <v>103</v>
      </c>
      <c r="L507" s="18">
        <v>13.4</v>
      </c>
      <c r="M507" s="18">
        <v>5.8</v>
      </c>
      <c r="N507" s="51">
        <f t="shared" si="146"/>
        <v>1.3103448275862069</v>
      </c>
      <c r="O507" s="51">
        <f t="shared" si="147"/>
        <v>2.1460602178090968E-2</v>
      </c>
      <c r="P507" s="51">
        <v>1.2999999999999999E-2</v>
      </c>
    </row>
    <row r="508" spans="1:19" ht="14" customHeight="1" x14ac:dyDescent="0.25">
      <c r="A508" s="154"/>
      <c r="B508" s="20">
        <v>10</v>
      </c>
      <c r="C508" s="15" t="s">
        <v>185</v>
      </c>
      <c r="D508" s="18">
        <f>8.9-3.88</f>
        <v>5.0200000000000005</v>
      </c>
      <c r="E508" s="18">
        <f>M508-4.19</f>
        <v>2.1099999999999994</v>
      </c>
      <c r="F508" s="17">
        <f t="shared" si="141"/>
        <v>1.3791469194312804</v>
      </c>
      <c r="G508" s="17">
        <f t="shared" si="144"/>
        <v>6.9529085872576252E-2</v>
      </c>
      <c r="H508" s="51">
        <f t="shared" si="145"/>
        <v>3.6952714535901904E-2</v>
      </c>
      <c r="J508" s="15">
        <v>10</v>
      </c>
      <c r="K508" s="15" t="s">
        <v>185</v>
      </c>
      <c r="L508" s="18">
        <v>8.9</v>
      </c>
      <c r="M508" s="18">
        <v>6.3</v>
      </c>
      <c r="N508" s="51">
        <f t="shared" si="146"/>
        <v>0.41269841269841279</v>
      </c>
      <c r="O508" s="51">
        <f t="shared" si="147"/>
        <v>1.4253683536194748E-2</v>
      </c>
      <c r="P508" s="51">
        <v>1.4E-2</v>
      </c>
    </row>
    <row r="509" spans="1:19" ht="14" customHeight="1" x14ac:dyDescent="0.25">
      <c r="A509" s="154"/>
      <c r="B509" s="15"/>
      <c r="C509" s="15" t="s">
        <v>105</v>
      </c>
      <c r="D509" s="18">
        <v>2.17999999999989</v>
      </c>
      <c r="E509" s="18">
        <v>2.8900000000000099</v>
      </c>
      <c r="F509" s="17">
        <f t="shared" si="141"/>
        <v>-0.24567474048446969</v>
      </c>
      <c r="G509" s="17">
        <f t="shared" si="144"/>
        <v>3.019390581717302E-2</v>
      </c>
      <c r="H509" s="51">
        <f t="shared" si="145"/>
        <v>5.0612959719789997E-2</v>
      </c>
      <c r="J509" s="15"/>
      <c r="K509" s="15" t="s">
        <v>105</v>
      </c>
      <c r="L509" s="18">
        <v>42.1</v>
      </c>
      <c r="M509" s="18">
        <v>41.3</v>
      </c>
      <c r="N509" s="51">
        <f t="shared" si="146"/>
        <v>1.9370460048426352E-2</v>
      </c>
      <c r="O509" s="51">
        <f t="shared" si="147"/>
        <v>6.7424727738629092E-2</v>
      </c>
      <c r="P509" s="51">
        <v>9.4E-2</v>
      </c>
    </row>
    <row r="510" spans="1:19" ht="14" customHeight="1" x14ac:dyDescent="0.25">
      <c r="A510" s="154"/>
      <c r="B510" s="15" t="s">
        <v>130</v>
      </c>
      <c r="C510" s="15"/>
      <c r="D510" s="18">
        <f>L510-L527</f>
        <v>72.199999999999932</v>
      </c>
      <c r="E510" s="18">
        <f>M510-M527</f>
        <v>57.100000000000023</v>
      </c>
      <c r="F510" s="17">
        <f t="shared" si="141"/>
        <v>0.26444833625218744</v>
      </c>
      <c r="G510" s="17">
        <f>SUM(G499:G509)</f>
        <v>0.99999999999999956</v>
      </c>
      <c r="H510" s="51">
        <f>SUM(H499:H509)</f>
        <v>0.99999999999999956</v>
      </c>
      <c r="J510" s="15" t="s">
        <v>130</v>
      </c>
      <c r="K510" s="15"/>
      <c r="L510" s="18">
        <v>624.4</v>
      </c>
      <c r="M510" s="18">
        <v>440.5</v>
      </c>
      <c r="N510" s="51">
        <f t="shared" si="146"/>
        <v>0.4174801362088536</v>
      </c>
      <c r="O510" s="51">
        <v>1</v>
      </c>
      <c r="P510" s="51">
        <v>1</v>
      </c>
      <c r="S510" s="206"/>
    </row>
    <row r="511" spans="1:19" ht="14" customHeight="1" x14ac:dyDescent="0.25">
      <c r="A511" s="154"/>
      <c r="B511" s="11"/>
      <c r="C511" s="11"/>
      <c r="D511" s="11"/>
      <c r="E511" s="11"/>
      <c r="F511" s="11"/>
      <c r="G511" s="11"/>
      <c r="H511" s="11"/>
      <c r="J511" s="10"/>
      <c r="K511" s="11"/>
      <c r="L511" s="11"/>
      <c r="M511" s="11"/>
      <c r="N511" s="11"/>
      <c r="O511" s="11"/>
      <c r="P511" s="11"/>
    </row>
    <row r="512" spans="1:19" ht="14" customHeight="1" x14ac:dyDescent="0.25">
      <c r="A512" s="154"/>
      <c r="B512" s="11"/>
      <c r="C512" s="11"/>
      <c r="D512" s="11"/>
      <c r="E512" s="11"/>
      <c r="F512" s="11"/>
      <c r="G512" s="11"/>
      <c r="H512" s="11"/>
      <c r="J512" s="10"/>
      <c r="K512" s="11"/>
      <c r="L512" s="11"/>
      <c r="M512" s="11"/>
      <c r="N512" s="11"/>
      <c r="O512" s="11"/>
      <c r="P512" s="11"/>
    </row>
    <row r="513" spans="1:18" ht="14" customHeight="1" x14ac:dyDescent="0.25">
      <c r="A513" s="154"/>
      <c r="B513" s="11"/>
      <c r="C513" s="11"/>
      <c r="D513" s="11"/>
      <c r="E513" s="11"/>
      <c r="F513" s="11"/>
      <c r="G513" s="11"/>
      <c r="H513" s="11"/>
      <c r="J513" s="10"/>
      <c r="K513" s="11"/>
      <c r="L513" s="11"/>
      <c r="M513" s="11"/>
      <c r="N513" s="11"/>
      <c r="O513" s="11"/>
      <c r="P513" s="11"/>
    </row>
    <row r="514" spans="1:18" ht="14" customHeight="1" x14ac:dyDescent="0.25">
      <c r="A514" s="154"/>
      <c r="B514" s="11" t="s">
        <v>186</v>
      </c>
      <c r="C514" s="11"/>
      <c r="D514" s="11"/>
      <c r="E514" s="11"/>
      <c r="F514" s="11"/>
      <c r="G514" s="11"/>
      <c r="H514" s="11"/>
      <c r="J514" s="10" t="s">
        <v>187</v>
      </c>
      <c r="K514" s="11"/>
      <c r="L514" s="11"/>
      <c r="M514" s="11"/>
      <c r="N514" s="11"/>
      <c r="O514" s="11"/>
      <c r="P514" s="11"/>
    </row>
    <row r="515" spans="1:18" ht="14" customHeight="1" x14ac:dyDescent="0.25">
      <c r="A515" s="154"/>
      <c r="B515" s="11" t="s">
        <v>96</v>
      </c>
      <c r="C515" s="15" t="s">
        <v>123</v>
      </c>
      <c r="D515" s="19">
        <v>45200</v>
      </c>
      <c r="E515" s="19">
        <v>44835</v>
      </c>
      <c r="F515" s="15" t="s">
        <v>34</v>
      </c>
      <c r="G515" s="15" t="s">
        <v>124</v>
      </c>
      <c r="H515" s="15" t="s">
        <v>176</v>
      </c>
      <c r="J515" s="11" t="s">
        <v>96</v>
      </c>
      <c r="K515" s="15" t="s">
        <v>123</v>
      </c>
      <c r="L515" s="19" t="s">
        <v>138</v>
      </c>
      <c r="M515" s="19" t="s">
        <v>188</v>
      </c>
      <c r="N515" s="21" t="s">
        <v>34</v>
      </c>
      <c r="O515" s="21" t="s">
        <v>179</v>
      </c>
      <c r="P515" s="21" t="s">
        <v>180</v>
      </c>
    </row>
    <row r="516" spans="1:18" ht="14" customHeight="1" x14ac:dyDescent="0.25">
      <c r="A516" s="154"/>
      <c r="B516" s="20">
        <v>1</v>
      </c>
      <c r="C516" s="15" t="s">
        <v>98</v>
      </c>
      <c r="D516" s="18">
        <f t="shared" ref="D516:E522" si="148">L516-L533</f>
        <v>24.900000000000006</v>
      </c>
      <c r="E516" s="18">
        <f t="shared" si="148"/>
        <v>17</v>
      </c>
      <c r="F516" s="17">
        <f>D516/E516-1</f>
        <v>0.46470588235294152</v>
      </c>
      <c r="G516" s="17">
        <f>D516/$D$527</f>
        <v>0.37556561085972823</v>
      </c>
      <c r="H516" s="51">
        <f>E516/$E$527</f>
        <v>0.36324786324786362</v>
      </c>
      <c r="J516" s="11">
        <v>1</v>
      </c>
      <c r="K516" s="15" t="s">
        <v>98</v>
      </c>
      <c r="L516" s="18">
        <v>203.8</v>
      </c>
      <c r="M516" s="18">
        <v>134.9</v>
      </c>
      <c r="N516" s="51">
        <v>0.51100000000000001</v>
      </c>
      <c r="O516" s="51">
        <v>0.36906917783411802</v>
      </c>
      <c r="P516" s="51">
        <v>0.35185185185185203</v>
      </c>
    </row>
    <row r="517" spans="1:18" ht="14" customHeight="1" x14ac:dyDescent="0.25">
      <c r="A517" s="154"/>
      <c r="B517" s="20">
        <v>2</v>
      </c>
      <c r="C517" s="15" t="s">
        <v>99</v>
      </c>
      <c r="D517" s="18">
        <f t="shared" si="148"/>
        <v>10.900000000000006</v>
      </c>
      <c r="E517" s="18">
        <f t="shared" si="148"/>
        <v>7.7999999999999972</v>
      </c>
      <c r="F517" s="17">
        <f t="shared" ref="F517:F527" si="149">D517/E517-1</f>
        <v>0.39743589743589869</v>
      </c>
      <c r="G517" s="17">
        <f t="shared" ref="G517:G527" si="150">D517/$D$527</f>
        <v>0.16440422322775256</v>
      </c>
      <c r="H517" s="51">
        <f t="shared" ref="H517:H527" si="151">E517/$E$527</f>
        <v>0.16666666666666677</v>
      </c>
      <c r="J517" s="11">
        <v>2</v>
      </c>
      <c r="K517" s="15" t="s">
        <v>99</v>
      </c>
      <c r="L517" s="18">
        <v>87.5</v>
      </c>
      <c r="M517" s="18">
        <v>52.5</v>
      </c>
      <c r="N517" s="51">
        <v>0.66500000000000004</v>
      </c>
      <c r="O517" s="51">
        <v>0.15845708076783799</v>
      </c>
      <c r="P517" s="51">
        <v>0.13693270735524299</v>
      </c>
    </row>
    <row r="518" spans="1:18" ht="14" customHeight="1" x14ac:dyDescent="0.25">
      <c r="A518" s="154"/>
      <c r="B518" s="20">
        <v>3</v>
      </c>
      <c r="C518" s="15" t="s">
        <v>172</v>
      </c>
      <c r="D518" s="18">
        <f t="shared" si="148"/>
        <v>6.7999999999999972</v>
      </c>
      <c r="E518" s="18">
        <f t="shared" si="148"/>
        <v>5.2000000000000028</v>
      </c>
      <c r="F518" s="17">
        <f t="shared" si="149"/>
        <v>0.30769230769230638</v>
      </c>
      <c r="G518" s="17">
        <f t="shared" si="150"/>
        <v>0.10256410256410242</v>
      </c>
      <c r="H518" s="51">
        <f t="shared" si="151"/>
        <v>0.11111111111111129</v>
      </c>
      <c r="J518" s="11">
        <v>3</v>
      </c>
      <c r="K518" s="15" t="s">
        <v>172</v>
      </c>
      <c r="L518" s="22">
        <v>76.099999999999994</v>
      </c>
      <c r="M518" s="22">
        <v>51.7</v>
      </c>
      <c r="N518" s="51">
        <v>0.47199999999999998</v>
      </c>
      <c r="O518" s="51">
        <v>0.13781238681637101</v>
      </c>
      <c r="P518" s="51">
        <v>0.13484611371935301</v>
      </c>
    </row>
    <row r="519" spans="1:18" ht="14" customHeight="1" x14ac:dyDescent="0.25">
      <c r="A519" s="154"/>
      <c r="B519" s="20">
        <v>4</v>
      </c>
      <c r="C519" s="15" t="s">
        <v>102</v>
      </c>
      <c r="D519" s="18">
        <f t="shared" si="148"/>
        <v>3.5</v>
      </c>
      <c r="E519" s="18">
        <f t="shared" si="148"/>
        <v>2.8999999999999986</v>
      </c>
      <c r="F519" s="17">
        <f t="shared" si="149"/>
        <v>0.20689655172413857</v>
      </c>
      <c r="G519" s="17">
        <f t="shared" si="150"/>
        <v>5.2790346907993911E-2</v>
      </c>
      <c r="H519" s="51">
        <f t="shared" si="151"/>
        <v>6.1965811965811995E-2</v>
      </c>
      <c r="J519" s="11">
        <v>4</v>
      </c>
      <c r="K519" s="15" t="s">
        <v>102</v>
      </c>
      <c r="L519" s="18">
        <v>37.299999999999997</v>
      </c>
      <c r="M519" s="18">
        <v>28.5</v>
      </c>
      <c r="N519" s="51">
        <v>0.308</v>
      </c>
      <c r="O519" s="51">
        <v>6.7547989858746799E-2</v>
      </c>
      <c r="P519" s="51">
        <v>7.4334898278560296E-2</v>
      </c>
    </row>
    <row r="520" spans="1:18" ht="14" customHeight="1" x14ac:dyDescent="0.25">
      <c r="A520" s="154"/>
      <c r="B520" s="20">
        <v>5</v>
      </c>
      <c r="C520" s="15" t="s">
        <v>25</v>
      </c>
      <c r="D520" s="18">
        <f t="shared" si="148"/>
        <v>3.2999999999999972</v>
      </c>
      <c r="E520" s="18">
        <f t="shared" si="148"/>
        <v>2.8000000000000007</v>
      </c>
      <c r="F520" s="17">
        <f t="shared" si="149"/>
        <v>0.17857142857142727</v>
      </c>
      <c r="G520" s="17">
        <f t="shared" si="150"/>
        <v>4.9773755656108504E-2</v>
      </c>
      <c r="H520" s="51">
        <f t="shared" si="151"/>
        <v>5.9829059829059901E-2</v>
      </c>
      <c r="J520" s="11">
        <v>5</v>
      </c>
      <c r="K520" s="15" t="s">
        <v>25</v>
      </c>
      <c r="L520" s="18">
        <v>27.9</v>
      </c>
      <c r="M520" s="18">
        <v>24.5</v>
      </c>
      <c r="N520" s="51">
        <v>0.13800000000000001</v>
      </c>
      <c r="O520" s="51">
        <v>5.0525172039116301E-2</v>
      </c>
      <c r="P520" s="51">
        <v>6.3901930099113199E-2</v>
      </c>
    </row>
    <row r="521" spans="1:18" ht="14" customHeight="1" x14ac:dyDescent="0.25">
      <c r="A521" s="154"/>
      <c r="B521" s="20">
        <v>6</v>
      </c>
      <c r="C521" s="15" t="s">
        <v>100</v>
      </c>
      <c r="D521" s="18">
        <f t="shared" si="148"/>
        <v>3.3999999999999986</v>
      </c>
      <c r="E521" s="18">
        <f t="shared" si="148"/>
        <v>1.9000000000000004</v>
      </c>
      <c r="F521" s="17">
        <f t="shared" si="149"/>
        <v>0.78947368421052522</v>
      </c>
      <c r="G521" s="17">
        <f t="shared" si="150"/>
        <v>5.1282051282051211E-2</v>
      </c>
      <c r="H521" s="51">
        <f t="shared" si="151"/>
        <v>4.0598290598290648E-2</v>
      </c>
      <c r="J521" s="11">
        <v>6</v>
      </c>
      <c r="K521" s="15" t="s">
        <v>100</v>
      </c>
      <c r="L521" s="18">
        <v>25.9</v>
      </c>
      <c r="M521" s="18">
        <v>14.8</v>
      </c>
      <c r="N521" s="51">
        <v>0.749</v>
      </c>
      <c r="O521" s="51">
        <v>4.6903295907279999E-2</v>
      </c>
      <c r="P521" s="51">
        <v>3.8601982263954102E-2</v>
      </c>
    </row>
    <row r="522" spans="1:18" ht="14" customHeight="1" x14ac:dyDescent="0.25">
      <c r="A522" s="154"/>
      <c r="B522" s="20">
        <v>7</v>
      </c>
      <c r="C522" s="15" t="s">
        <v>173</v>
      </c>
      <c r="D522" s="18">
        <f t="shared" si="148"/>
        <v>3.4000000000000021</v>
      </c>
      <c r="E522" s="18">
        <f t="shared" si="148"/>
        <v>2.1999999999999993</v>
      </c>
      <c r="F522" s="17">
        <f t="shared" si="149"/>
        <v>0.54545454545454697</v>
      </c>
      <c r="G522" s="17">
        <f t="shared" si="150"/>
        <v>5.1282051282051259E-2</v>
      </c>
      <c r="H522" s="51">
        <f t="shared" si="151"/>
        <v>4.7008547008547036E-2</v>
      </c>
      <c r="J522" s="11">
        <v>7</v>
      </c>
      <c r="K522" s="15" t="s">
        <v>173</v>
      </c>
      <c r="L522" s="18">
        <v>25.1</v>
      </c>
      <c r="M522" s="18">
        <v>17.7</v>
      </c>
      <c r="N522" s="51">
        <v>0.42099999999999999</v>
      </c>
      <c r="O522" s="51">
        <v>4.5454545454545497E-2</v>
      </c>
      <c r="P522" s="51">
        <v>4.6165884194053201E-2</v>
      </c>
    </row>
    <row r="523" spans="1:18" ht="14" customHeight="1" x14ac:dyDescent="0.25">
      <c r="A523" s="154"/>
      <c r="B523" s="20">
        <v>8</v>
      </c>
      <c r="C523" s="15" t="s">
        <v>101</v>
      </c>
      <c r="D523" s="18">
        <f>L523-L541</f>
        <v>2.9000000000000004</v>
      </c>
      <c r="E523" s="18">
        <f>M523-M541</f>
        <v>6.6999999999999993</v>
      </c>
      <c r="F523" s="17">
        <f t="shared" si="149"/>
        <v>-0.56716417910447747</v>
      </c>
      <c r="G523" s="17">
        <f t="shared" si="150"/>
        <v>4.3740573152337821E-2</v>
      </c>
      <c r="H523" s="51">
        <f t="shared" si="151"/>
        <v>0.14316239316239329</v>
      </c>
      <c r="J523" s="11">
        <v>8</v>
      </c>
      <c r="K523" s="15" t="s">
        <v>101</v>
      </c>
      <c r="L523" s="18">
        <v>13</v>
      </c>
      <c r="M523" s="18">
        <v>11.2</v>
      </c>
      <c r="N523" s="51">
        <v>0.16600000000000001</v>
      </c>
      <c r="O523" s="51">
        <v>2.35421948569359E-2</v>
      </c>
      <c r="P523" s="51">
        <v>2.9212310902451698E-2</v>
      </c>
    </row>
    <row r="524" spans="1:18" ht="14" customHeight="1" x14ac:dyDescent="0.25">
      <c r="A524" s="154"/>
      <c r="B524" s="20">
        <v>9</v>
      </c>
      <c r="C524" s="15" t="s">
        <v>103</v>
      </c>
      <c r="D524" s="18">
        <f>L524-L540</f>
        <v>1.0999999999999996</v>
      </c>
      <c r="E524" s="18">
        <f>M524-M540</f>
        <v>-4.5999999999999996</v>
      </c>
      <c r="F524" s="17">
        <f t="shared" si="149"/>
        <v>-1.2391304347826086</v>
      </c>
      <c r="G524" s="17">
        <f t="shared" si="150"/>
        <v>1.6591251885369512E-2</v>
      </c>
      <c r="H524" s="51">
        <f t="shared" si="151"/>
        <v>-9.8290598290598372E-2</v>
      </c>
      <c r="J524" s="11">
        <v>9</v>
      </c>
      <c r="K524" s="15" t="s">
        <v>103</v>
      </c>
      <c r="L524" s="18">
        <v>11.7</v>
      </c>
      <c r="M524" s="18">
        <v>5.0999999999999996</v>
      </c>
      <c r="N524" s="51">
        <v>1.2809999999999999</v>
      </c>
      <c r="O524" s="51">
        <v>2.1187975371242299E-2</v>
      </c>
      <c r="P524" s="51">
        <v>1.3302034428795E-2</v>
      </c>
    </row>
    <row r="525" spans="1:18" ht="14" customHeight="1" x14ac:dyDescent="0.25">
      <c r="A525" s="154"/>
      <c r="B525" s="20">
        <v>10</v>
      </c>
      <c r="C525" s="15" t="s">
        <v>181</v>
      </c>
      <c r="D525" s="18">
        <f t="shared" ref="D525:E527" si="152">L525-L542</f>
        <v>0.90000000000000036</v>
      </c>
      <c r="E525" s="18">
        <f t="shared" si="152"/>
        <v>0.70000000000000018</v>
      </c>
      <c r="F525" s="17">
        <f t="shared" si="149"/>
        <v>0.28571428571428581</v>
      </c>
      <c r="G525" s="17">
        <f t="shared" si="150"/>
        <v>1.3574660633484155E-2</v>
      </c>
      <c r="H525" s="51">
        <f t="shared" si="151"/>
        <v>1.4957264957264975E-2</v>
      </c>
      <c r="J525" s="15">
        <v>10</v>
      </c>
      <c r="K525" s="15" t="s">
        <v>181</v>
      </c>
      <c r="L525" s="18">
        <v>7.7</v>
      </c>
      <c r="M525" s="18">
        <v>6.9</v>
      </c>
      <c r="N525" s="51">
        <v>0.115</v>
      </c>
      <c r="O525" s="51">
        <v>1.39442231075697E-2</v>
      </c>
      <c r="P525" s="51">
        <v>1.79968701095462E-2</v>
      </c>
      <c r="R525" s="192"/>
    </row>
    <row r="526" spans="1:18" ht="14" customHeight="1" x14ac:dyDescent="0.25">
      <c r="A526" s="154"/>
      <c r="B526" s="15"/>
      <c r="C526" s="15" t="s">
        <v>105</v>
      </c>
      <c r="D526" s="18">
        <f t="shared" si="152"/>
        <v>5.2000000000000028</v>
      </c>
      <c r="E526" s="18">
        <f t="shared" si="152"/>
        <v>3.8999999999999986</v>
      </c>
      <c r="F526" s="17">
        <f t="shared" si="149"/>
        <v>0.33333333333333459</v>
      </c>
      <c r="G526" s="17">
        <f t="shared" si="150"/>
        <v>7.8431372549019565E-2</v>
      </c>
      <c r="H526" s="51">
        <f t="shared" si="151"/>
        <v>8.3333333333333384E-2</v>
      </c>
      <c r="J526" s="15"/>
      <c r="K526" s="15" t="s">
        <v>105</v>
      </c>
      <c r="L526" s="18">
        <v>36.200000000000003</v>
      </c>
      <c r="M526" s="18">
        <v>35.5</v>
      </c>
      <c r="N526" s="51">
        <v>1.7999999999999999E-2</v>
      </c>
      <c r="O526" s="51">
        <v>6.5555957986236896E-2</v>
      </c>
      <c r="P526" s="51">
        <v>9.2592592592592601E-2</v>
      </c>
    </row>
    <row r="527" spans="1:18" ht="14" customHeight="1" x14ac:dyDescent="0.25">
      <c r="A527" s="154"/>
      <c r="B527" s="15" t="s">
        <v>130</v>
      </c>
      <c r="C527" s="15"/>
      <c r="D527" s="18">
        <f t="shared" si="152"/>
        <v>66.300000000000068</v>
      </c>
      <c r="E527" s="18">
        <f t="shared" si="152"/>
        <v>46.799999999999955</v>
      </c>
      <c r="F527" s="17">
        <f t="shared" si="149"/>
        <v>0.41666666666666941</v>
      </c>
      <c r="G527" s="17">
        <f t="shared" si="150"/>
        <v>1</v>
      </c>
      <c r="H527" s="51">
        <f t="shared" si="151"/>
        <v>1</v>
      </c>
      <c r="J527" s="15" t="s">
        <v>130</v>
      </c>
      <c r="K527" s="15"/>
      <c r="L527" s="18">
        <v>552.20000000000005</v>
      </c>
      <c r="M527" s="18">
        <v>383.4</v>
      </c>
      <c r="N527" s="51">
        <v>0.44400000000000001</v>
      </c>
      <c r="O527" s="51">
        <v>1</v>
      </c>
      <c r="P527" s="51">
        <v>1</v>
      </c>
    </row>
    <row r="528" spans="1:18" ht="14" customHeight="1" x14ac:dyDescent="0.25">
      <c r="A528" s="154"/>
    </row>
    <row r="529" spans="1:16" ht="14" customHeight="1" x14ac:dyDescent="0.25">
      <c r="A529" s="154"/>
    </row>
    <row r="530" spans="1:16" ht="14" customHeight="1" x14ac:dyDescent="0.25">
      <c r="A530" s="154"/>
    </row>
    <row r="531" spans="1:16" ht="14" customHeight="1" x14ac:dyDescent="0.25">
      <c r="A531" s="154"/>
      <c r="B531" s="11" t="s">
        <v>189</v>
      </c>
      <c r="C531" s="11"/>
      <c r="D531" s="11"/>
      <c r="E531" s="11"/>
      <c r="F531" s="11"/>
      <c r="G531" s="11"/>
      <c r="H531" s="11"/>
      <c r="J531" s="10" t="s">
        <v>190</v>
      </c>
      <c r="K531" s="11"/>
      <c r="L531" s="11"/>
      <c r="M531" s="11"/>
      <c r="N531" s="11"/>
      <c r="O531" s="11"/>
      <c r="P531" s="11"/>
    </row>
    <row r="532" spans="1:16" ht="14" customHeight="1" x14ac:dyDescent="0.25">
      <c r="A532" s="154"/>
      <c r="B532" s="11" t="s">
        <v>96</v>
      </c>
      <c r="C532" s="15" t="s">
        <v>123</v>
      </c>
      <c r="D532" s="19">
        <v>45170</v>
      </c>
      <c r="E532" s="19">
        <v>44805</v>
      </c>
      <c r="F532" s="15" t="s">
        <v>34</v>
      </c>
      <c r="G532" s="15" t="s">
        <v>124</v>
      </c>
      <c r="H532" s="15" t="s">
        <v>176</v>
      </c>
      <c r="J532" s="11" t="s">
        <v>96</v>
      </c>
      <c r="K532" s="15" t="s">
        <v>123</v>
      </c>
      <c r="L532" s="19" t="s">
        <v>142</v>
      </c>
      <c r="M532" s="19" t="s">
        <v>191</v>
      </c>
      <c r="N532" s="21" t="s">
        <v>34</v>
      </c>
      <c r="O532" s="21" t="s">
        <v>179</v>
      </c>
      <c r="P532" s="21" t="s">
        <v>180</v>
      </c>
    </row>
    <row r="533" spans="1:16" ht="14" customHeight="1" x14ac:dyDescent="0.25">
      <c r="A533" s="154"/>
      <c r="B533" s="20">
        <v>1</v>
      </c>
      <c r="C533" s="15" t="s">
        <v>98</v>
      </c>
      <c r="D533" s="18">
        <f>L533-L550</f>
        <v>20.599999999999994</v>
      </c>
      <c r="E533" s="171">
        <f>M533-M550</f>
        <v>15.400000000000006</v>
      </c>
      <c r="F533" s="17">
        <f>D533/E533-1</f>
        <v>0.33766233766233689</v>
      </c>
      <c r="G533" s="17">
        <f>D533/$D$544</f>
        <v>0.36203866432337439</v>
      </c>
      <c r="H533" s="51">
        <f>E533/$E$544</f>
        <v>0.31752577319587638</v>
      </c>
      <c r="J533" s="11">
        <v>1</v>
      </c>
      <c r="K533" s="15" t="s">
        <v>98</v>
      </c>
      <c r="L533" s="18">
        <v>178.9</v>
      </c>
      <c r="M533" s="18">
        <v>117.9</v>
      </c>
      <c r="N533" s="51">
        <v>0.52100000000000002</v>
      </c>
      <c r="O533" s="51">
        <v>0.36799999999999999</v>
      </c>
      <c r="P533" s="51">
        <v>0.35</v>
      </c>
    </row>
    <row r="534" spans="1:16" ht="14" customHeight="1" x14ac:dyDescent="0.25">
      <c r="A534" s="154"/>
      <c r="B534" s="20">
        <v>2</v>
      </c>
      <c r="C534" s="15" t="s">
        <v>99</v>
      </c>
      <c r="D534" s="18">
        <f>L535-L552</f>
        <v>8.3999999999999986</v>
      </c>
      <c r="E534" s="171">
        <f>M535-M552</f>
        <v>8.1000000000000014</v>
      </c>
      <c r="F534" s="17">
        <v>0.37037037037037002</v>
      </c>
      <c r="G534" s="17">
        <f t="shared" ref="G534:G544" si="153">D534/$D$544</f>
        <v>0.14762741652021094</v>
      </c>
      <c r="H534" s="51">
        <f t="shared" ref="H534:H544" si="154">E534/$E$544</f>
        <v>0.16701030927835053</v>
      </c>
      <c r="J534" s="11">
        <v>2</v>
      </c>
      <c r="K534" s="15" t="s">
        <v>99</v>
      </c>
      <c r="L534" s="18">
        <v>76.599999999999994</v>
      </c>
      <c r="M534" s="18">
        <v>44.7</v>
      </c>
      <c r="N534" s="51">
        <v>0.71399999999999997</v>
      </c>
      <c r="O534" s="51">
        <v>0.158</v>
      </c>
      <c r="P534" s="51">
        <v>0.13300000000000001</v>
      </c>
    </row>
    <row r="535" spans="1:16" ht="14" customHeight="1" x14ac:dyDescent="0.25">
      <c r="A535" s="154"/>
      <c r="B535" s="20">
        <v>3</v>
      </c>
      <c r="C535" s="15" t="s">
        <v>172</v>
      </c>
      <c r="D535" s="18">
        <f>L534-L551</f>
        <v>8.5</v>
      </c>
      <c r="E535" s="171">
        <f>M534-M551</f>
        <v>8.3000000000000043</v>
      </c>
      <c r="F535" s="17">
        <v>0.84615384615384504</v>
      </c>
      <c r="G535" s="17">
        <f t="shared" si="153"/>
        <v>0.14938488576449918</v>
      </c>
      <c r="H535" s="51">
        <f t="shared" si="154"/>
        <v>0.17113402061855679</v>
      </c>
      <c r="J535" s="11">
        <v>3</v>
      </c>
      <c r="K535" s="15" t="s">
        <v>172</v>
      </c>
      <c r="L535" s="22">
        <v>69.3</v>
      </c>
      <c r="M535" s="22">
        <v>46.5</v>
      </c>
      <c r="N535" s="51">
        <v>0.49099999999999999</v>
      </c>
      <c r="O535" s="51">
        <v>0.14299999999999999</v>
      </c>
      <c r="P535" s="51">
        <v>0.13800000000000001</v>
      </c>
    </row>
    <row r="536" spans="1:16" ht="14" customHeight="1" x14ac:dyDescent="0.25">
      <c r="A536" s="154"/>
      <c r="B536" s="20">
        <v>4</v>
      </c>
      <c r="C536" s="15" t="s">
        <v>102</v>
      </c>
      <c r="D536" s="18">
        <f t="shared" ref="D536:D537" si="155">L536-L553</f>
        <v>3.1999999999999957</v>
      </c>
      <c r="E536" s="171">
        <f t="shared" ref="E536:E537" si="156">M536-M553</f>
        <v>3.3000000000000007</v>
      </c>
      <c r="F536" s="17">
        <f t="shared" ref="F536:F544" si="157">D536/E536-1</f>
        <v>-3.030303030303183E-2</v>
      </c>
      <c r="G536" s="17">
        <f t="shared" si="153"/>
        <v>5.6239015817223147E-2</v>
      </c>
      <c r="H536" s="51">
        <f t="shared" si="154"/>
        <v>6.804123711340207E-2</v>
      </c>
      <c r="J536" s="11">
        <v>4</v>
      </c>
      <c r="K536" s="15" t="s">
        <v>102</v>
      </c>
      <c r="L536" s="18">
        <v>33.799999999999997</v>
      </c>
      <c r="M536" s="18">
        <v>25.6</v>
      </c>
      <c r="N536" s="51">
        <v>0.32300000000000001</v>
      </c>
      <c r="O536" s="51">
        <v>7.0000000000000007E-2</v>
      </c>
      <c r="P536" s="51">
        <v>7.5999999999999998E-2</v>
      </c>
    </row>
    <row r="537" spans="1:16" ht="14" customHeight="1" x14ac:dyDescent="0.25">
      <c r="A537" s="154"/>
      <c r="B537" s="20">
        <v>5</v>
      </c>
      <c r="C537" s="15" t="s">
        <v>25</v>
      </c>
      <c r="D537" s="18">
        <f t="shared" si="155"/>
        <v>2.9000000000000021</v>
      </c>
      <c r="E537" s="171">
        <f t="shared" si="156"/>
        <v>3.0999999999999979</v>
      </c>
      <c r="F537" s="17">
        <f t="shared" si="157"/>
        <v>-6.4516129032256786E-2</v>
      </c>
      <c r="G537" s="17">
        <f t="shared" si="153"/>
        <v>5.0966608084358579E-2</v>
      </c>
      <c r="H537" s="51">
        <f t="shared" si="154"/>
        <v>6.391752577319583E-2</v>
      </c>
      <c r="J537" s="11">
        <v>5</v>
      </c>
      <c r="K537" s="15" t="s">
        <v>25</v>
      </c>
      <c r="L537" s="18">
        <v>24.6</v>
      </c>
      <c r="M537" s="18">
        <v>21.7</v>
      </c>
      <c r="N537" s="51">
        <v>0.13200000000000001</v>
      </c>
      <c r="O537" s="51">
        <v>5.0999999999999997E-2</v>
      </c>
      <c r="P537" s="51">
        <v>6.5000000000000002E-2</v>
      </c>
    </row>
    <row r="538" spans="1:16" ht="14" customHeight="1" x14ac:dyDescent="0.25">
      <c r="A538" s="154"/>
      <c r="B538" s="20">
        <v>6</v>
      </c>
      <c r="C538" s="15" t="s">
        <v>173</v>
      </c>
      <c r="D538" s="18">
        <f>L539-L556</f>
        <v>4.0999999999999979</v>
      </c>
      <c r="E538" s="171">
        <f>M539-M556</f>
        <v>2.1999999999999993</v>
      </c>
      <c r="F538" s="17">
        <f t="shared" si="157"/>
        <v>0.86363636363636331</v>
      </c>
      <c r="G538" s="17">
        <f t="shared" si="153"/>
        <v>7.2056239015817217E-2</v>
      </c>
      <c r="H538" s="51">
        <f t="shared" si="154"/>
        <v>4.5360824742268026E-2</v>
      </c>
      <c r="J538" s="11">
        <v>6</v>
      </c>
      <c r="K538" s="15" t="s">
        <v>100</v>
      </c>
      <c r="L538" s="18">
        <v>22.5</v>
      </c>
      <c r="M538" s="18">
        <v>12.9</v>
      </c>
      <c r="N538" s="51">
        <v>0.74</v>
      </c>
      <c r="O538" s="51">
        <v>4.5999999999999999E-2</v>
      </c>
      <c r="P538" s="51">
        <v>3.7999999999999999E-2</v>
      </c>
    </row>
    <row r="539" spans="1:16" ht="14" customHeight="1" x14ac:dyDescent="0.25">
      <c r="A539" s="154"/>
      <c r="B539" s="20">
        <v>7</v>
      </c>
      <c r="C539" s="15" t="s">
        <v>100</v>
      </c>
      <c r="D539" s="18">
        <f>L538-L555</f>
        <v>2.5</v>
      </c>
      <c r="E539" s="171">
        <f>M538-M555</f>
        <v>1</v>
      </c>
      <c r="F539" s="17">
        <f t="shared" si="157"/>
        <v>1.5</v>
      </c>
      <c r="G539" s="17">
        <f t="shared" si="153"/>
        <v>4.393673110720564E-2</v>
      </c>
      <c r="H539" s="51">
        <f t="shared" si="154"/>
        <v>2.0618556701030927E-2</v>
      </c>
      <c r="J539" s="11">
        <v>7</v>
      </c>
      <c r="K539" s="15" t="s">
        <v>173</v>
      </c>
      <c r="L539" s="18">
        <v>21.7</v>
      </c>
      <c r="M539" s="18">
        <v>15.5</v>
      </c>
      <c r="N539" s="51">
        <v>0.40200000000000002</v>
      </c>
      <c r="O539" s="51">
        <v>4.4999999999999998E-2</v>
      </c>
      <c r="P539" s="51">
        <v>4.5999999999999999E-2</v>
      </c>
    </row>
    <row r="540" spans="1:16" ht="14" customHeight="1" x14ac:dyDescent="0.25">
      <c r="A540" s="154"/>
      <c r="B540" s="20">
        <v>8</v>
      </c>
      <c r="C540" s="15" t="s">
        <v>103</v>
      </c>
      <c r="D540" s="18">
        <f t="shared" ref="D540:D544" si="158">L540-L557</f>
        <v>1.4000000000000004</v>
      </c>
      <c r="E540" s="171">
        <f t="shared" ref="E540:E544" si="159">M540-M557</f>
        <v>5.8999999999999995</v>
      </c>
      <c r="F540" s="17">
        <f t="shared" si="157"/>
        <v>-0.76271186440677963</v>
      </c>
      <c r="G540" s="17">
        <f t="shared" si="153"/>
        <v>2.4604569420035166E-2</v>
      </c>
      <c r="H540" s="51">
        <f t="shared" si="154"/>
        <v>0.12164948453608246</v>
      </c>
      <c r="J540" s="11">
        <v>8</v>
      </c>
      <c r="K540" s="15" t="s">
        <v>103</v>
      </c>
      <c r="L540" s="18">
        <v>10.6</v>
      </c>
      <c r="M540" s="18">
        <v>9.6999999999999993</v>
      </c>
      <c r="N540" s="51">
        <v>9.1999999999999998E-2</v>
      </c>
      <c r="O540" s="51">
        <v>2.1999999999999999E-2</v>
      </c>
      <c r="P540" s="51">
        <v>2.9000000000000001E-2</v>
      </c>
    </row>
    <row r="541" spans="1:16" ht="14" customHeight="1" x14ac:dyDescent="0.25">
      <c r="A541" s="154"/>
      <c r="B541" s="20">
        <v>9</v>
      </c>
      <c r="C541" s="15" t="s">
        <v>101</v>
      </c>
      <c r="D541" s="18">
        <f t="shared" si="158"/>
        <v>1</v>
      </c>
      <c r="E541" s="171">
        <f t="shared" si="159"/>
        <v>-3.9000000000000004</v>
      </c>
      <c r="F541" s="17">
        <f t="shared" si="157"/>
        <v>-1.2564102564102564</v>
      </c>
      <c r="G541" s="17">
        <f t="shared" si="153"/>
        <v>1.7574692442882258E-2</v>
      </c>
      <c r="H541" s="51">
        <f t="shared" si="154"/>
        <v>-8.0412371134020624E-2</v>
      </c>
      <c r="J541" s="11">
        <v>9</v>
      </c>
      <c r="K541" s="15" t="s">
        <v>101</v>
      </c>
      <c r="L541" s="18">
        <v>10.1</v>
      </c>
      <c r="M541" s="18">
        <v>4.5</v>
      </c>
      <c r="N541" s="51">
        <v>1.24</v>
      </c>
      <c r="O541" s="51">
        <v>2.1000000000000001E-2</v>
      </c>
      <c r="P541" s="51">
        <v>1.2999999999999999E-2</v>
      </c>
    </row>
    <row r="542" spans="1:16" ht="14" customHeight="1" x14ac:dyDescent="0.25">
      <c r="A542" s="154"/>
      <c r="B542" s="20">
        <v>10</v>
      </c>
      <c r="C542" s="15" t="s">
        <v>181</v>
      </c>
      <c r="D542" s="18">
        <f t="shared" si="158"/>
        <v>0.59999999999999964</v>
      </c>
      <c r="E542" s="171">
        <f t="shared" si="159"/>
        <v>1.5</v>
      </c>
      <c r="F542" s="17">
        <f t="shared" si="157"/>
        <v>-0.60000000000000031</v>
      </c>
      <c r="G542" s="17">
        <f t="shared" si="153"/>
        <v>1.0544815465729348E-2</v>
      </c>
      <c r="H542" s="51">
        <f t="shared" si="154"/>
        <v>3.0927835051546393E-2</v>
      </c>
      <c r="J542" s="15">
        <v>10</v>
      </c>
      <c r="K542" s="15" t="s">
        <v>181</v>
      </c>
      <c r="L542" s="18">
        <v>6.8</v>
      </c>
      <c r="M542" s="18">
        <v>6.2</v>
      </c>
      <c r="N542" s="51">
        <v>9.4E-2</v>
      </c>
      <c r="O542" s="51">
        <v>1.4E-2</v>
      </c>
      <c r="P542" s="51">
        <v>1.9E-2</v>
      </c>
    </row>
    <row r="543" spans="1:16" ht="14" customHeight="1" x14ac:dyDescent="0.25">
      <c r="A543" s="154"/>
      <c r="B543" s="15"/>
      <c r="C543" s="15" t="s">
        <v>105</v>
      </c>
      <c r="D543" s="18">
        <f t="shared" si="158"/>
        <v>3.6999999999999993</v>
      </c>
      <c r="E543" s="171">
        <f t="shared" si="159"/>
        <v>3.8000000000000007</v>
      </c>
      <c r="F543" s="17">
        <f t="shared" si="157"/>
        <v>-2.6315789473684625E-2</v>
      </c>
      <c r="G543" s="17">
        <f t="shared" si="153"/>
        <v>6.502636203866434E-2</v>
      </c>
      <c r="H543" s="51">
        <f t="shared" si="154"/>
        <v>7.8350515463917539E-2</v>
      </c>
      <c r="J543" s="15"/>
      <c r="K543" s="15" t="s">
        <v>105</v>
      </c>
      <c r="L543" s="18">
        <v>31</v>
      </c>
      <c r="M543" s="18">
        <v>31.6</v>
      </c>
      <c r="N543" s="51">
        <v>-2.1000000000000001E-2</v>
      </c>
      <c r="O543" s="51">
        <v>6.4000000000000001E-2</v>
      </c>
      <c r="P543" s="51">
        <v>9.4E-2</v>
      </c>
    </row>
    <row r="544" spans="1:16" ht="14" customHeight="1" x14ac:dyDescent="0.25">
      <c r="A544" s="154"/>
      <c r="B544" s="15" t="s">
        <v>130</v>
      </c>
      <c r="C544" s="15"/>
      <c r="D544" s="18">
        <f t="shared" si="158"/>
        <v>56.899999999999977</v>
      </c>
      <c r="E544" s="171">
        <f t="shared" si="159"/>
        <v>48.5</v>
      </c>
      <c r="F544" s="17">
        <f t="shared" si="157"/>
        <v>0.1731958762886594</v>
      </c>
      <c r="G544" s="17">
        <f t="shared" si="153"/>
        <v>1</v>
      </c>
      <c r="H544" s="51">
        <f t="shared" si="154"/>
        <v>1</v>
      </c>
      <c r="J544" s="15" t="s">
        <v>130</v>
      </c>
      <c r="K544" s="15"/>
      <c r="L544" s="18">
        <v>485.9</v>
      </c>
      <c r="M544" s="18">
        <v>336.6</v>
      </c>
      <c r="N544" s="51">
        <v>0.44400000000000001</v>
      </c>
      <c r="O544" s="51">
        <v>1</v>
      </c>
      <c r="P544" s="51">
        <v>1</v>
      </c>
    </row>
    <row r="545" spans="1:16" ht="14" customHeight="1" x14ac:dyDescent="0.25">
      <c r="A545" s="154"/>
    </row>
    <row r="546" spans="1:16" ht="14" customHeight="1" x14ac:dyDescent="0.25">
      <c r="A546" s="154"/>
      <c r="B546" s="11"/>
      <c r="C546" s="11"/>
      <c r="D546" s="11"/>
      <c r="E546" s="11"/>
      <c r="F546" s="11"/>
      <c r="G546" s="11"/>
      <c r="H546" s="11"/>
      <c r="J546" s="10"/>
      <c r="K546" s="11"/>
      <c r="L546" s="11"/>
      <c r="M546" s="11"/>
      <c r="N546" s="11"/>
      <c r="O546" s="11"/>
      <c r="P546" s="11"/>
    </row>
    <row r="547" spans="1:16" ht="14" customHeight="1" x14ac:dyDescent="0.25">
      <c r="A547" s="154"/>
    </row>
    <row r="548" spans="1:16" ht="14" customHeight="1" x14ac:dyDescent="0.25">
      <c r="A548" s="154"/>
      <c r="B548" s="11" t="s">
        <v>192</v>
      </c>
      <c r="C548" s="11"/>
      <c r="D548" s="11"/>
      <c r="E548" s="11"/>
      <c r="F548" s="11"/>
      <c r="G548" s="11"/>
      <c r="H548" s="11"/>
      <c r="J548" s="10" t="s">
        <v>193</v>
      </c>
      <c r="K548" s="11"/>
      <c r="L548" s="11"/>
      <c r="M548" s="11"/>
      <c r="N548" s="11"/>
      <c r="O548" s="11"/>
      <c r="P548" s="11"/>
    </row>
    <row r="549" spans="1:16" ht="14" customHeight="1" x14ac:dyDescent="0.25">
      <c r="A549" s="154"/>
      <c r="B549" s="11" t="s">
        <v>96</v>
      </c>
      <c r="C549" s="15" t="s">
        <v>123</v>
      </c>
      <c r="D549" s="19">
        <v>45139</v>
      </c>
      <c r="E549" s="19">
        <v>44774</v>
      </c>
      <c r="F549" s="15" t="s">
        <v>34</v>
      </c>
      <c r="G549" s="15" t="s">
        <v>124</v>
      </c>
      <c r="H549" s="15" t="s">
        <v>176</v>
      </c>
      <c r="J549" s="11" t="s">
        <v>96</v>
      </c>
      <c r="K549" s="15" t="s">
        <v>123</v>
      </c>
      <c r="L549" s="19" t="s">
        <v>146</v>
      </c>
      <c r="M549" s="19" t="s">
        <v>194</v>
      </c>
      <c r="N549" s="21" t="s">
        <v>34</v>
      </c>
      <c r="O549" s="21" t="s">
        <v>179</v>
      </c>
      <c r="P549" s="21" t="s">
        <v>180</v>
      </c>
    </row>
    <row r="550" spans="1:16" ht="14" customHeight="1" x14ac:dyDescent="0.25">
      <c r="A550" s="154"/>
      <c r="B550" s="20">
        <v>1</v>
      </c>
      <c r="C550" s="15" t="s">
        <v>98</v>
      </c>
      <c r="D550" s="18">
        <v>25.4</v>
      </c>
      <c r="E550" s="171">
        <v>16.399999999999999</v>
      </c>
      <c r="F550" s="17">
        <v>0.54878048780487798</v>
      </c>
      <c r="G550" s="17">
        <f>D550/$D$561</f>
        <v>0.38426626323751895</v>
      </c>
      <c r="H550" s="51">
        <f>E550/$E$561</f>
        <v>0.36525612472160357</v>
      </c>
      <c r="J550" s="11">
        <v>1</v>
      </c>
      <c r="K550" s="15" t="s">
        <v>98</v>
      </c>
      <c r="L550" s="18">
        <v>158.30000000000001</v>
      </c>
      <c r="M550" s="18">
        <v>102.5</v>
      </c>
      <c r="N550" s="51">
        <v>0.54400000000000004</v>
      </c>
      <c r="O550" s="51">
        <f>L550/L561</f>
        <v>0.368997668997669</v>
      </c>
      <c r="P550" s="51">
        <v>0.35599999999999998</v>
      </c>
    </row>
    <row r="551" spans="1:16" ht="14" customHeight="1" x14ac:dyDescent="0.25">
      <c r="A551" s="154"/>
      <c r="B551" s="20">
        <v>2</v>
      </c>
      <c r="C551" s="15" t="s">
        <v>99</v>
      </c>
      <c r="D551" s="18">
        <v>10</v>
      </c>
      <c r="E551" s="171">
        <v>6.5</v>
      </c>
      <c r="F551" s="17">
        <v>0.53800000000000003</v>
      </c>
      <c r="G551" s="17">
        <f t="shared" ref="G551:G561" si="160">D551/$D$561</f>
        <v>0.15128593040847202</v>
      </c>
      <c r="H551" s="51">
        <f t="shared" ref="H551:H561" si="161">E551/$E$561</f>
        <v>0.1447661469933185</v>
      </c>
      <c r="J551" s="11">
        <v>2</v>
      </c>
      <c r="K551" s="15" t="s">
        <v>99</v>
      </c>
      <c r="L551" s="18">
        <v>68.099999999999994</v>
      </c>
      <c r="M551" s="18">
        <v>36.4</v>
      </c>
      <c r="N551" s="51">
        <v>0.871</v>
      </c>
      <c r="O551" s="51">
        <v>0.159</v>
      </c>
      <c r="P551" s="51">
        <v>0.126</v>
      </c>
    </row>
    <row r="552" spans="1:16" ht="14" customHeight="1" x14ac:dyDescent="0.25">
      <c r="A552" s="154"/>
      <c r="B552" s="20">
        <v>3</v>
      </c>
      <c r="C552" s="15" t="s">
        <v>172</v>
      </c>
      <c r="D552" s="18">
        <v>9.5</v>
      </c>
      <c r="E552" s="171">
        <v>4.8</v>
      </c>
      <c r="F552" s="17">
        <v>0.97899999999999998</v>
      </c>
      <c r="G552" s="17">
        <f t="shared" si="160"/>
        <v>0.14372163388804843</v>
      </c>
      <c r="H552" s="51">
        <f t="shared" si="161"/>
        <v>0.10690423162583519</v>
      </c>
      <c r="J552" s="11">
        <v>3</v>
      </c>
      <c r="K552" s="15" t="s">
        <v>172</v>
      </c>
      <c r="L552" s="22">
        <v>60.9</v>
      </c>
      <c r="M552" s="22">
        <v>38.4</v>
      </c>
      <c r="N552" s="51">
        <v>0.58499999999999996</v>
      </c>
      <c r="O552" s="51">
        <v>0.14199999999999999</v>
      </c>
      <c r="P552" s="51">
        <v>0.13300000000000001</v>
      </c>
    </row>
    <row r="553" spans="1:16" ht="14" customHeight="1" x14ac:dyDescent="0.25">
      <c r="A553" s="154"/>
      <c r="B553" s="20">
        <v>4</v>
      </c>
      <c r="C553" s="15" t="s">
        <v>102</v>
      </c>
      <c r="D553" s="18">
        <v>4</v>
      </c>
      <c r="E553" s="171">
        <v>3.1</v>
      </c>
      <c r="F553" s="17">
        <v>0.29032258064516098</v>
      </c>
      <c r="G553" s="17">
        <f t="shared" si="160"/>
        <v>6.0514372163388813E-2</v>
      </c>
      <c r="H553" s="51">
        <f t="shared" si="161"/>
        <v>6.9042316258351902E-2</v>
      </c>
      <c r="J553" s="11">
        <v>4</v>
      </c>
      <c r="K553" s="15" t="s">
        <v>102</v>
      </c>
      <c r="L553" s="18">
        <v>30.6</v>
      </c>
      <c r="M553" s="18">
        <v>22.3</v>
      </c>
      <c r="N553" s="51">
        <v>0.373</v>
      </c>
      <c r="O553" s="51">
        <v>7.0999999999999994E-2</v>
      </c>
      <c r="P553" s="51">
        <v>7.6999999999999999E-2</v>
      </c>
    </row>
    <row r="554" spans="1:16" ht="14" customHeight="1" x14ac:dyDescent="0.25">
      <c r="A554" s="154"/>
      <c r="B554" s="20">
        <v>5</v>
      </c>
      <c r="C554" s="15" t="s">
        <v>25</v>
      </c>
      <c r="D554" s="18">
        <v>2.7</v>
      </c>
      <c r="E554" s="171">
        <v>2.2999999999999998</v>
      </c>
      <c r="F554" s="17">
        <v>0.17391304347826</v>
      </c>
      <c r="G554" s="17">
        <f t="shared" si="160"/>
        <v>4.0847201210287447E-2</v>
      </c>
      <c r="H554" s="51">
        <f t="shared" si="161"/>
        <v>5.1224944320712694E-2</v>
      </c>
      <c r="J554" s="11">
        <v>5</v>
      </c>
      <c r="K554" s="15" t="s">
        <v>25</v>
      </c>
      <c r="L554" s="18">
        <v>21.7</v>
      </c>
      <c r="M554" s="18">
        <v>18.600000000000001</v>
      </c>
      <c r="N554" s="51">
        <v>0.16500000000000001</v>
      </c>
      <c r="O554" s="51">
        <v>5.0999999999999997E-2</v>
      </c>
      <c r="P554" s="51">
        <v>5.0999999999999997E-2</v>
      </c>
    </row>
    <row r="555" spans="1:16" ht="14" customHeight="1" x14ac:dyDescent="0.25">
      <c r="A555" s="154"/>
      <c r="B555" s="20">
        <v>6</v>
      </c>
      <c r="C555" s="15" t="s">
        <v>173</v>
      </c>
      <c r="D555" s="18">
        <v>2.6</v>
      </c>
      <c r="E555" s="171">
        <v>1.9</v>
      </c>
      <c r="F555" s="17">
        <v>0.36842105263157898</v>
      </c>
      <c r="G555" s="17">
        <f t="shared" si="160"/>
        <v>3.9334341906202726E-2</v>
      </c>
      <c r="H555" s="51">
        <f t="shared" si="161"/>
        <v>4.2316258351893093E-2</v>
      </c>
      <c r="J555" s="11">
        <v>6</v>
      </c>
      <c r="K555" s="15" t="s">
        <v>100</v>
      </c>
      <c r="L555" s="18">
        <v>20</v>
      </c>
      <c r="M555" s="18">
        <v>11.9</v>
      </c>
      <c r="N555" s="51">
        <v>0.69</v>
      </c>
      <c r="O555" s="51">
        <v>4.7E-2</v>
      </c>
      <c r="P555" s="51">
        <v>4.7E-2</v>
      </c>
    </row>
    <row r="556" spans="1:16" ht="14" customHeight="1" x14ac:dyDescent="0.25">
      <c r="A556" s="154"/>
      <c r="B556" s="20">
        <v>7</v>
      </c>
      <c r="C556" s="15" t="s">
        <v>100</v>
      </c>
      <c r="D556" s="18">
        <v>3.6</v>
      </c>
      <c r="E556" s="171">
        <v>2</v>
      </c>
      <c r="F556" s="17">
        <v>0.80000000000000104</v>
      </c>
      <c r="G556" s="17">
        <f t="shared" si="160"/>
        <v>5.4462934947049929E-2</v>
      </c>
      <c r="H556" s="51">
        <f t="shared" si="161"/>
        <v>4.4543429844097995E-2</v>
      </c>
      <c r="J556" s="11">
        <v>7</v>
      </c>
      <c r="K556" s="15" t="s">
        <v>173</v>
      </c>
      <c r="L556" s="18">
        <v>17.600000000000001</v>
      </c>
      <c r="M556" s="18">
        <v>13.3</v>
      </c>
      <c r="N556" s="51">
        <v>0.32400000000000001</v>
      </c>
      <c r="O556" s="51">
        <v>4.1000000000000002E-2</v>
      </c>
      <c r="P556" s="51">
        <v>4.1000000000000002E-2</v>
      </c>
    </row>
    <row r="557" spans="1:16" ht="14" customHeight="1" x14ac:dyDescent="0.25">
      <c r="A557" s="154"/>
      <c r="B557" s="20">
        <v>8</v>
      </c>
      <c r="C557" s="15" t="s">
        <v>103</v>
      </c>
      <c r="D557" s="18">
        <v>1.2</v>
      </c>
      <c r="E557" s="171">
        <v>0.6</v>
      </c>
      <c r="F557" s="17">
        <v>1</v>
      </c>
      <c r="G557" s="17">
        <f t="shared" si="160"/>
        <v>1.8154311649016642E-2</v>
      </c>
      <c r="H557" s="51">
        <f t="shared" si="161"/>
        <v>1.3363028953229399E-2</v>
      </c>
      <c r="J557" s="11">
        <v>8</v>
      </c>
      <c r="K557" s="15" t="s">
        <v>103</v>
      </c>
      <c r="L557" s="18">
        <v>9.1999999999999993</v>
      </c>
      <c r="M557" s="18">
        <v>3.8</v>
      </c>
      <c r="N557" s="51">
        <v>1.4279999999999999</v>
      </c>
      <c r="O557" s="51">
        <v>2.1000000000000001E-2</v>
      </c>
      <c r="P557" s="51">
        <v>2.1000000000000001E-2</v>
      </c>
    </row>
    <row r="558" spans="1:16" ht="14" customHeight="1" x14ac:dyDescent="0.25">
      <c r="A558" s="154"/>
      <c r="B558" s="20">
        <v>9</v>
      </c>
      <c r="C558" s="15" t="s">
        <v>101</v>
      </c>
      <c r="D558" s="18">
        <v>1.3</v>
      </c>
      <c r="E558" s="171">
        <v>1.4</v>
      </c>
      <c r="F558" s="17">
        <v>-7.1428571428571799E-2</v>
      </c>
      <c r="G558" s="17">
        <f t="shared" si="160"/>
        <v>1.9667170953101363E-2</v>
      </c>
      <c r="H558" s="51">
        <f t="shared" si="161"/>
        <v>3.1180400890868595E-2</v>
      </c>
      <c r="J558" s="11">
        <v>9</v>
      </c>
      <c r="K558" s="15" t="s">
        <v>101</v>
      </c>
      <c r="L558" s="18">
        <v>9.1</v>
      </c>
      <c r="M558" s="18">
        <v>8.4</v>
      </c>
      <c r="N558" s="51">
        <v>7.6999999999999999E-2</v>
      </c>
      <c r="O558" s="51">
        <v>2.1000000000000001E-2</v>
      </c>
      <c r="P558" s="51">
        <v>2.1000000000000001E-2</v>
      </c>
    </row>
    <row r="559" spans="1:16" ht="14" customHeight="1" x14ac:dyDescent="0.25">
      <c r="A559" s="154"/>
      <c r="B559" s="20">
        <v>10</v>
      </c>
      <c r="C559" s="15" t="s">
        <v>181</v>
      </c>
      <c r="D559" s="18">
        <v>0.8</v>
      </c>
      <c r="E559" s="171">
        <v>0.8</v>
      </c>
      <c r="F559" s="17">
        <v>0</v>
      </c>
      <c r="G559" s="17">
        <f t="shared" si="160"/>
        <v>1.2102874432677763E-2</v>
      </c>
      <c r="H559" s="51">
        <f t="shared" si="161"/>
        <v>1.7817371937639201E-2</v>
      </c>
      <c r="J559" s="15">
        <v>10</v>
      </c>
      <c r="K559" s="15" t="s">
        <v>181</v>
      </c>
      <c r="L559" s="18">
        <v>6.2</v>
      </c>
      <c r="M559" s="18">
        <v>4.7</v>
      </c>
      <c r="N559" s="51">
        <v>0.30399999999999999</v>
      </c>
      <c r="O559" s="51">
        <v>1.4E-2</v>
      </c>
      <c r="P559" s="51">
        <v>1.4E-2</v>
      </c>
    </row>
    <row r="560" spans="1:16" ht="14" customHeight="1" x14ac:dyDescent="0.25">
      <c r="A560" s="154"/>
      <c r="B560" s="15"/>
      <c r="C560" s="15" t="s">
        <v>105</v>
      </c>
      <c r="D560" s="18">
        <v>4.9000000000000004</v>
      </c>
      <c r="E560" s="171">
        <v>5.0999999999999996</v>
      </c>
      <c r="F560" s="17">
        <v>-3.9215686274509699E-2</v>
      </c>
      <c r="G560" s="17">
        <f t="shared" si="160"/>
        <v>7.4130105900151302E-2</v>
      </c>
      <c r="H560" s="51">
        <f t="shared" si="161"/>
        <v>0.11358574610244988</v>
      </c>
      <c r="J560" s="15"/>
      <c r="K560" s="15" t="s">
        <v>105</v>
      </c>
      <c r="L560" s="18">
        <v>27.3</v>
      </c>
      <c r="M560" s="18">
        <v>27.8</v>
      </c>
      <c r="N560" s="51">
        <v>-1.6E-2</v>
      </c>
      <c r="O560" s="51">
        <v>6.4000000000000001E-2</v>
      </c>
      <c r="P560" s="51">
        <v>6.4000000000000001E-2</v>
      </c>
    </row>
    <row r="561" spans="1:16" ht="14" customHeight="1" x14ac:dyDescent="0.25">
      <c r="A561" s="154"/>
      <c r="B561" s="15" t="s">
        <v>130</v>
      </c>
      <c r="C561" s="15"/>
      <c r="D561" s="18">
        <v>66.099999999999994</v>
      </c>
      <c r="E561" s="171">
        <v>44.9</v>
      </c>
      <c r="F561" s="17">
        <v>0.47216035634743803</v>
      </c>
      <c r="G561" s="17">
        <f t="shared" si="160"/>
        <v>1</v>
      </c>
      <c r="H561" s="51">
        <f t="shared" si="161"/>
        <v>1</v>
      </c>
      <c r="J561" s="15" t="s">
        <v>130</v>
      </c>
      <c r="K561" s="15"/>
      <c r="L561" s="18">
        <v>429</v>
      </c>
      <c r="M561" s="18">
        <v>288.10000000000002</v>
      </c>
      <c r="N561" s="51">
        <v>0.48899999999999999</v>
      </c>
      <c r="O561" s="51">
        <v>1</v>
      </c>
      <c r="P561" s="51">
        <v>1</v>
      </c>
    </row>
    <row r="562" spans="1:16" ht="14" customHeight="1" x14ac:dyDescent="0.25">
      <c r="A562" s="154"/>
    </row>
    <row r="563" spans="1:16" ht="14" customHeight="1" x14ac:dyDescent="0.25">
      <c r="A563" s="154"/>
    </row>
    <row r="564" spans="1:16" ht="14" customHeight="1" x14ac:dyDescent="0.25">
      <c r="A564" s="154"/>
      <c r="B564" s="11"/>
      <c r="C564" s="11"/>
      <c r="D564" s="11"/>
      <c r="E564" s="11"/>
      <c r="F564" s="11"/>
      <c r="G564" s="11"/>
      <c r="H564" s="11"/>
      <c r="J564" s="10"/>
      <c r="K564" s="11"/>
      <c r="L564" s="11"/>
      <c r="M564" s="11"/>
      <c r="N564" s="11"/>
      <c r="O564" s="11"/>
      <c r="P564" s="11"/>
    </row>
    <row r="565" spans="1:16" ht="14" customHeight="1" x14ac:dyDescent="0.25">
      <c r="A565" s="154"/>
      <c r="B565" s="11" t="s">
        <v>195</v>
      </c>
      <c r="C565" s="11"/>
      <c r="D565" s="11"/>
      <c r="E565" s="11"/>
      <c r="F565" s="11"/>
      <c r="G565" s="11"/>
      <c r="H565" s="11"/>
      <c r="J565" s="10" t="s">
        <v>196</v>
      </c>
      <c r="K565" s="11"/>
      <c r="L565" s="11"/>
      <c r="M565" s="11"/>
      <c r="N565" s="11"/>
      <c r="O565" s="11"/>
      <c r="P565" s="11"/>
    </row>
    <row r="566" spans="1:16" ht="14" customHeight="1" x14ac:dyDescent="0.25">
      <c r="A566" s="154"/>
      <c r="B566" s="11" t="s">
        <v>96</v>
      </c>
      <c r="C566" s="15" t="s">
        <v>123</v>
      </c>
      <c r="D566" s="19">
        <v>45108</v>
      </c>
      <c r="E566" s="19">
        <v>44743</v>
      </c>
      <c r="F566" s="15" t="s">
        <v>34</v>
      </c>
      <c r="G566" s="15" t="s">
        <v>124</v>
      </c>
      <c r="H566" s="15" t="s">
        <v>176</v>
      </c>
      <c r="J566" s="11" t="s">
        <v>96</v>
      </c>
      <c r="K566" s="15" t="s">
        <v>123</v>
      </c>
      <c r="L566" s="19" t="s">
        <v>150</v>
      </c>
      <c r="M566" s="19" t="s">
        <v>197</v>
      </c>
      <c r="N566" s="21" t="s">
        <v>34</v>
      </c>
      <c r="O566" s="21" t="s">
        <v>179</v>
      </c>
      <c r="P566" s="21" t="s">
        <v>180</v>
      </c>
    </row>
    <row r="567" spans="1:16" ht="14" customHeight="1" x14ac:dyDescent="0.25">
      <c r="A567" s="154"/>
      <c r="B567" s="11">
        <v>1</v>
      </c>
      <c r="C567" s="15" t="s">
        <v>98</v>
      </c>
      <c r="D567" s="18">
        <f>L567-L584</f>
        <v>20.900000000000006</v>
      </c>
      <c r="E567" s="171">
        <f>M567-M584</f>
        <v>14.399999999999991</v>
      </c>
      <c r="F567" s="17">
        <f t="shared" ref="F567:F578" si="162">D567/E567-1</f>
        <v>0.45138888888889017</v>
      </c>
      <c r="G567" s="17">
        <f>D567/$D$578</f>
        <v>0.35665529010238939</v>
      </c>
      <c r="H567" s="51">
        <f>E567/$E$578</f>
        <v>0.35643564356435642</v>
      </c>
      <c r="J567" s="11">
        <v>1</v>
      </c>
      <c r="K567" s="15" t="s">
        <v>98</v>
      </c>
      <c r="L567" s="18">
        <v>132.9</v>
      </c>
      <c r="M567" s="23">
        <v>86.1</v>
      </c>
      <c r="N567" s="51">
        <v>0.54300000000000004</v>
      </c>
      <c r="O567" s="51">
        <f>L567/L578</f>
        <v>0.36621658859189865</v>
      </c>
      <c r="P567" s="51">
        <v>0.35399999999999998</v>
      </c>
    </row>
    <row r="568" spans="1:16" ht="14" customHeight="1" x14ac:dyDescent="0.25">
      <c r="A568" s="154"/>
      <c r="B568" s="11">
        <v>2</v>
      </c>
      <c r="C568" s="15" t="s">
        <v>172</v>
      </c>
      <c r="D568" s="18">
        <f>L569-L586</f>
        <v>7.2999999999999972</v>
      </c>
      <c r="E568" s="171">
        <f>M569-M586</f>
        <v>4.3000000000000007</v>
      </c>
      <c r="F568" s="17">
        <v>0.37037037037037002</v>
      </c>
      <c r="G568" s="17">
        <f t="shared" ref="G568:G578" si="163">D568/$D$578</f>
        <v>0.12457337883959047</v>
      </c>
      <c r="H568" s="51">
        <f t="shared" ref="H568:H578" si="164">E568/$E$578</f>
        <v>0.10643564356435652</v>
      </c>
      <c r="J568" s="11">
        <v>2</v>
      </c>
      <c r="K568" s="15" t="s">
        <v>99</v>
      </c>
      <c r="L568" s="18">
        <v>58.1</v>
      </c>
      <c r="M568" s="23">
        <v>29.9</v>
      </c>
      <c r="N568" s="51">
        <v>0.94099999999999995</v>
      </c>
      <c r="O568" s="51">
        <v>0.16</v>
      </c>
      <c r="P568" s="51">
        <v>0.123</v>
      </c>
    </row>
    <row r="569" spans="1:16" ht="14" customHeight="1" x14ac:dyDescent="0.25">
      <c r="A569" s="154"/>
      <c r="B569" s="11">
        <v>3</v>
      </c>
      <c r="C569" s="15" t="s">
        <v>99</v>
      </c>
      <c r="D569" s="18">
        <f>L568-L585</f>
        <v>10.399999999999999</v>
      </c>
      <c r="E569" s="171">
        <f>M568-M585</f>
        <v>6.2999999999999972</v>
      </c>
      <c r="F569" s="17">
        <v>0.84615384615384504</v>
      </c>
      <c r="G569" s="17">
        <f t="shared" si="163"/>
        <v>0.17747440273037551</v>
      </c>
      <c r="H569" s="51">
        <f t="shared" si="164"/>
        <v>0.15594059405940597</v>
      </c>
      <c r="J569" s="11">
        <v>3</v>
      </c>
      <c r="K569" s="15" t="s">
        <v>172</v>
      </c>
      <c r="L569" s="22">
        <v>51.4</v>
      </c>
      <c r="M569" s="23">
        <v>33.6</v>
      </c>
      <c r="N569" s="51">
        <v>0.53200000000000003</v>
      </c>
      <c r="O569" s="51">
        <v>0.14199999999999999</v>
      </c>
      <c r="P569" s="51">
        <v>0.13800000000000001</v>
      </c>
    </row>
    <row r="570" spans="1:16" ht="14" customHeight="1" x14ac:dyDescent="0.25">
      <c r="A570" s="154"/>
      <c r="B570" s="11">
        <v>4</v>
      </c>
      <c r="C570" s="15" t="s">
        <v>102</v>
      </c>
      <c r="D570" s="18">
        <f>L570-L587</f>
        <v>3.8000000000000007</v>
      </c>
      <c r="E570" s="171">
        <f>M570-M587</f>
        <v>2.8000000000000007</v>
      </c>
      <c r="F570" s="17">
        <f t="shared" si="162"/>
        <v>0.35714285714285698</v>
      </c>
      <c r="G570" s="17">
        <f t="shared" si="163"/>
        <v>6.4846416382252609E-2</v>
      </c>
      <c r="H570" s="51">
        <f t="shared" si="164"/>
        <v>6.9306930693069368E-2</v>
      </c>
      <c r="J570" s="11">
        <v>4</v>
      </c>
      <c r="K570" s="15" t="s">
        <v>102</v>
      </c>
      <c r="L570" s="18">
        <v>26.6</v>
      </c>
      <c r="M570" s="23">
        <v>19.2</v>
      </c>
      <c r="N570" s="51">
        <v>0.38200000000000001</v>
      </c>
      <c r="O570" s="51">
        <v>7.2999999999999995E-2</v>
      </c>
      <c r="P570" s="51">
        <v>7.9000000000000001E-2</v>
      </c>
    </row>
    <row r="571" spans="1:16" ht="14" customHeight="1" x14ac:dyDescent="0.25">
      <c r="A571" s="154"/>
      <c r="B571" s="11">
        <v>5</v>
      </c>
      <c r="C571" s="15" t="s">
        <v>25</v>
      </c>
      <c r="D571" s="18">
        <f>L571-L588</f>
        <v>3.0999999999999996</v>
      </c>
      <c r="E571" s="171">
        <f>M571-M588</f>
        <v>2.6000000000000014</v>
      </c>
      <c r="F571" s="17">
        <f t="shared" si="162"/>
        <v>0.19230769230769162</v>
      </c>
      <c r="G571" s="17">
        <f t="shared" si="163"/>
        <v>5.2901023890785007E-2</v>
      </c>
      <c r="H571" s="51">
        <f t="shared" si="164"/>
        <v>6.4356435643564427E-2</v>
      </c>
      <c r="J571" s="11">
        <v>5</v>
      </c>
      <c r="K571" s="15" t="s">
        <v>25</v>
      </c>
      <c r="L571" s="18">
        <v>19</v>
      </c>
      <c r="M571" s="23">
        <v>16.3</v>
      </c>
      <c r="N571" s="51">
        <v>0.16300000000000001</v>
      </c>
      <c r="O571" s="51">
        <v>5.1999999999999998E-2</v>
      </c>
      <c r="P571" s="51">
        <v>6.7000000000000004E-2</v>
      </c>
    </row>
    <row r="572" spans="1:16" ht="14" customHeight="1" x14ac:dyDescent="0.25">
      <c r="A572" s="154"/>
      <c r="B572" s="11">
        <v>6</v>
      </c>
      <c r="C572" s="15" t="s">
        <v>173</v>
      </c>
      <c r="D572" s="18">
        <f>L573-L590</f>
        <v>2.4000000000000004</v>
      </c>
      <c r="E572" s="171">
        <f>M573-M590</f>
        <v>1.5999999999999996</v>
      </c>
      <c r="F572" s="17">
        <f t="shared" si="162"/>
        <v>0.50000000000000067</v>
      </c>
      <c r="G572" s="17">
        <f t="shared" si="163"/>
        <v>4.095563139931744E-2</v>
      </c>
      <c r="H572" s="51">
        <f t="shared" si="164"/>
        <v>3.9603960396039618E-2</v>
      </c>
      <c r="J572" s="11">
        <v>6</v>
      </c>
      <c r="K572" s="15" t="s">
        <v>100</v>
      </c>
      <c r="L572" s="18">
        <v>16.399999999999999</v>
      </c>
      <c r="M572" s="23">
        <v>9.9</v>
      </c>
      <c r="N572" s="51">
        <v>0.65400000000000003</v>
      </c>
      <c r="O572" s="51">
        <v>4.4999999999999998E-2</v>
      </c>
      <c r="P572" s="51">
        <v>4.1000000000000002E-2</v>
      </c>
    </row>
    <row r="573" spans="1:16" ht="14" customHeight="1" x14ac:dyDescent="0.25">
      <c r="A573" s="154"/>
      <c r="B573" s="11">
        <v>7</v>
      </c>
      <c r="C573" s="15" t="s">
        <v>100</v>
      </c>
      <c r="D573" s="18">
        <f>L572-L589</f>
        <v>3.3999999999999986</v>
      </c>
      <c r="E573" s="171">
        <f>M572-M589</f>
        <v>1.7000000000000011</v>
      </c>
      <c r="F573" s="17">
        <f t="shared" si="162"/>
        <v>0.999999999999998</v>
      </c>
      <c r="G573" s="17">
        <f t="shared" si="163"/>
        <v>5.8020477815699668E-2</v>
      </c>
      <c r="H573" s="51">
        <f t="shared" si="164"/>
        <v>4.207920792079213E-2</v>
      </c>
      <c r="J573" s="11">
        <v>7</v>
      </c>
      <c r="K573" s="15" t="s">
        <v>173</v>
      </c>
      <c r="L573" s="18">
        <v>15</v>
      </c>
      <c r="M573" s="23">
        <v>11.4</v>
      </c>
      <c r="N573" s="51">
        <v>0.32</v>
      </c>
      <c r="O573" s="51">
        <v>4.1000000000000002E-2</v>
      </c>
      <c r="P573" s="51">
        <v>4.7E-2</v>
      </c>
    </row>
    <row r="574" spans="1:16" ht="14" customHeight="1" x14ac:dyDescent="0.25">
      <c r="A574" s="154"/>
      <c r="B574" s="11">
        <v>8</v>
      </c>
      <c r="C574" s="15" t="s">
        <v>103</v>
      </c>
      <c r="D574" s="18">
        <f t="shared" ref="D574:E576" si="165">L574-L591</f>
        <v>1.4000000000000004</v>
      </c>
      <c r="E574" s="171">
        <f t="shared" si="165"/>
        <v>0.60000000000000009</v>
      </c>
      <c r="F574" s="17">
        <f t="shared" si="162"/>
        <v>1.3333333333333335</v>
      </c>
      <c r="G574" s="17">
        <f t="shared" si="163"/>
        <v>2.3890784982935172E-2</v>
      </c>
      <c r="H574" s="51">
        <f t="shared" si="164"/>
        <v>1.4851485148514861E-2</v>
      </c>
      <c r="J574" s="11">
        <v>8</v>
      </c>
      <c r="K574" s="15" t="s">
        <v>103</v>
      </c>
      <c r="L574" s="18">
        <v>8</v>
      </c>
      <c r="M574" s="23">
        <v>3.2</v>
      </c>
      <c r="N574" s="51">
        <v>1.5089999999999999</v>
      </c>
      <c r="O574" s="51">
        <v>2.1999999999999999E-2</v>
      </c>
      <c r="P574" s="51">
        <v>1.2999999999999999E-2</v>
      </c>
    </row>
    <row r="575" spans="1:16" ht="14" customHeight="1" x14ac:dyDescent="0.25">
      <c r="A575" s="154"/>
      <c r="B575" s="11">
        <v>9</v>
      </c>
      <c r="C575" s="15" t="s">
        <v>101</v>
      </c>
      <c r="D575" s="18">
        <f t="shared" si="165"/>
        <v>1.2999999999999998</v>
      </c>
      <c r="E575" s="171">
        <f t="shared" si="165"/>
        <v>1.5</v>
      </c>
      <c r="F575" s="17">
        <f t="shared" si="162"/>
        <v>-0.13333333333333341</v>
      </c>
      <c r="G575" s="17">
        <f t="shared" si="163"/>
        <v>2.2184300341296939E-2</v>
      </c>
      <c r="H575" s="51">
        <f t="shared" si="164"/>
        <v>3.7128712871287148E-2</v>
      </c>
      <c r="J575" s="11">
        <v>9</v>
      </c>
      <c r="K575" s="15" t="s">
        <v>101</v>
      </c>
      <c r="L575" s="18">
        <v>7.8</v>
      </c>
      <c r="M575" s="23">
        <v>7</v>
      </c>
      <c r="N575" s="51">
        <v>0.106</v>
      </c>
      <c r="O575" s="51">
        <v>2.1000000000000001E-2</v>
      </c>
      <c r="P575" s="51">
        <v>2.9000000000000001E-2</v>
      </c>
    </row>
    <row r="576" spans="1:16" ht="14" customHeight="1" x14ac:dyDescent="0.25">
      <c r="A576" s="154"/>
      <c r="B576" s="11">
        <v>10</v>
      </c>
      <c r="C576" s="15" t="s">
        <v>181</v>
      </c>
      <c r="D576" s="18">
        <f t="shared" si="165"/>
        <v>0.80000000000000071</v>
      </c>
      <c r="E576" s="171">
        <f t="shared" si="165"/>
        <v>0.69999999999999973</v>
      </c>
      <c r="F576" s="17">
        <f t="shared" si="162"/>
        <v>0.14285714285714435</v>
      </c>
      <c r="G576" s="17">
        <f t="shared" si="163"/>
        <v>1.3651877133105821E-2</v>
      </c>
      <c r="H576" s="51">
        <f t="shared" si="164"/>
        <v>1.7326732673267328E-2</v>
      </c>
      <c r="J576" s="15">
        <v>10</v>
      </c>
      <c r="K576" s="15" t="s">
        <v>181</v>
      </c>
      <c r="L576" s="18">
        <v>5.4</v>
      </c>
      <c r="M576" s="23">
        <v>3.9</v>
      </c>
      <c r="N576" s="51">
        <v>0.374</v>
      </c>
      <c r="O576" s="51">
        <v>1.4999999999999999E-2</v>
      </c>
      <c r="P576" s="51">
        <v>1.6E-2</v>
      </c>
    </row>
    <row r="577" spans="1:16" ht="14" customHeight="1" x14ac:dyDescent="0.25">
      <c r="A577" s="154"/>
      <c r="B577" s="15"/>
      <c r="C577" s="15" t="s">
        <v>105</v>
      </c>
      <c r="D577" s="18">
        <f>L577-L594</f>
        <v>4.0999999999999979</v>
      </c>
      <c r="E577" s="171">
        <f t="shared" ref="E577:E578" si="166">M577-M594</f>
        <v>4.0999999999999979</v>
      </c>
      <c r="F577" s="17">
        <f t="shared" si="162"/>
        <v>0</v>
      </c>
      <c r="G577" s="17">
        <f t="shared" si="163"/>
        <v>6.9965870307167236E-2</v>
      </c>
      <c r="H577" s="51">
        <f t="shared" si="164"/>
        <v>0.10148514851485149</v>
      </c>
      <c r="J577" s="15"/>
      <c r="K577" s="15" t="s">
        <v>105</v>
      </c>
      <c r="L577" s="18">
        <v>22.4</v>
      </c>
      <c r="M577" s="23">
        <v>22.7</v>
      </c>
      <c r="N577" s="51">
        <v>-1.0999999999999999E-2</v>
      </c>
      <c r="O577" s="51">
        <v>6.2E-2</v>
      </c>
      <c r="P577" s="51">
        <v>9.2999999999999999E-2</v>
      </c>
    </row>
    <row r="578" spans="1:16" ht="14" customHeight="1" x14ac:dyDescent="0.25">
      <c r="A578" s="154"/>
      <c r="B578" s="15" t="s">
        <v>130</v>
      </c>
      <c r="C578" s="15"/>
      <c r="D578" s="18">
        <f>L578-L595</f>
        <v>58.599999999999966</v>
      </c>
      <c r="E578" s="171">
        <f t="shared" si="166"/>
        <v>40.399999999999977</v>
      </c>
      <c r="F578" s="17">
        <f t="shared" si="162"/>
        <v>0.45049504950495045</v>
      </c>
      <c r="G578" s="17">
        <f t="shared" si="163"/>
        <v>1</v>
      </c>
      <c r="H578" s="51">
        <f t="shared" si="164"/>
        <v>1</v>
      </c>
      <c r="J578" s="15" t="s">
        <v>130</v>
      </c>
      <c r="K578" s="15"/>
      <c r="L578" s="18">
        <v>362.9</v>
      </c>
      <c r="M578" s="18">
        <v>243.2</v>
      </c>
      <c r="N578" s="51">
        <v>0.49199999999999999</v>
      </c>
      <c r="O578" s="51">
        <v>1</v>
      </c>
      <c r="P578" s="51">
        <v>1</v>
      </c>
    </row>
    <row r="579" spans="1:16" ht="14" customHeight="1" x14ac:dyDescent="0.25">
      <c r="A579" s="154"/>
    </row>
    <row r="580" spans="1:16" ht="14" customHeight="1" x14ac:dyDescent="0.25">
      <c r="A580" s="154"/>
    </row>
    <row r="581" spans="1:16" ht="14" customHeight="1" x14ac:dyDescent="0.25">
      <c r="A581" s="154"/>
    </row>
    <row r="582" spans="1:16" ht="14" customHeight="1" x14ac:dyDescent="0.25">
      <c r="A582" s="154"/>
      <c r="B582" s="11" t="s">
        <v>198</v>
      </c>
      <c r="C582" s="11"/>
      <c r="D582" s="11"/>
      <c r="E582" s="11"/>
      <c r="F582" s="11"/>
      <c r="G582" s="11"/>
      <c r="H582" s="11"/>
      <c r="J582" s="10" t="s">
        <v>199</v>
      </c>
      <c r="K582" s="11"/>
      <c r="L582" s="11"/>
      <c r="M582" s="11"/>
      <c r="N582" s="11"/>
      <c r="O582" s="11"/>
      <c r="P582" s="11"/>
    </row>
    <row r="583" spans="1:16" ht="14" customHeight="1" x14ac:dyDescent="0.25">
      <c r="A583" s="154"/>
      <c r="B583" s="11" t="s">
        <v>96</v>
      </c>
      <c r="C583" s="15" t="s">
        <v>123</v>
      </c>
      <c r="D583" s="19">
        <v>45078</v>
      </c>
      <c r="E583" s="19">
        <v>44713</v>
      </c>
      <c r="F583" s="15" t="s">
        <v>34</v>
      </c>
      <c r="G583" s="15" t="s">
        <v>124</v>
      </c>
      <c r="H583" s="15" t="s">
        <v>176</v>
      </c>
      <c r="J583" s="11" t="s">
        <v>96</v>
      </c>
      <c r="K583" s="15" t="s">
        <v>123</v>
      </c>
      <c r="L583" s="19" t="s">
        <v>154</v>
      </c>
      <c r="M583" s="19" t="s">
        <v>200</v>
      </c>
      <c r="N583" s="21" t="s">
        <v>34</v>
      </c>
      <c r="O583" s="21" t="s">
        <v>179</v>
      </c>
      <c r="P583" s="21" t="s">
        <v>180</v>
      </c>
    </row>
    <row r="584" spans="1:16" ht="14" customHeight="1" x14ac:dyDescent="0.25">
      <c r="A584" s="154"/>
      <c r="B584" s="11">
        <v>1</v>
      </c>
      <c r="C584" s="15" t="s">
        <v>98</v>
      </c>
      <c r="D584" s="18">
        <f>L584-L601</f>
        <v>25.799999999999997</v>
      </c>
      <c r="E584" s="171">
        <f>M584-M601</f>
        <v>17.700000000000003</v>
      </c>
      <c r="F584" s="17">
        <f>D584/E584-1</f>
        <v>0.45762711864406747</v>
      </c>
      <c r="G584" s="17">
        <f>D584/$D$595</f>
        <v>0.38680659670164902</v>
      </c>
      <c r="H584" s="51">
        <f>E584/$E$595</f>
        <v>0.37982832618025764</v>
      </c>
      <c r="J584" s="11">
        <v>1</v>
      </c>
      <c r="K584" s="15" t="s">
        <v>98</v>
      </c>
      <c r="L584" s="18">
        <v>112</v>
      </c>
      <c r="M584" s="23">
        <v>71.7</v>
      </c>
      <c r="N584" s="51">
        <v>0.56200000000000006</v>
      </c>
      <c r="O584" s="51">
        <v>0.36799999999999999</v>
      </c>
      <c r="P584" s="51">
        <v>0.35399999999999998</v>
      </c>
    </row>
    <row r="585" spans="1:16" ht="14" customHeight="1" x14ac:dyDescent="0.25">
      <c r="A585" s="154"/>
      <c r="B585" s="11">
        <v>2</v>
      </c>
      <c r="C585" s="15" t="s">
        <v>172</v>
      </c>
      <c r="D585" s="18">
        <v>11.1</v>
      </c>
      <c r="E585" s="171">
        <v>8.1</v>
      </c>
      <c r="F585" s="17">
        <v>0.37037037037037002</v>
      </c>
      <c r="G585" s="17">
        <v>0.16641679160419801</v>
      </c>
      <c r="H585" s="51">
        <v>0.17381974248927001</v>
      </c>
      <c r="J585" s="11">
        <v>2</v>
      </c>
      <c r="K585" s="15" t="s">
        <v>99</v>
      </c>
      <c r="L585" s="18">
        <v>47.7</v>
      </c>
      <c r="M585" s="23">
        <v>23.6</v>
      </c>
      <c r="N585" s="51">
        <v>1.024</v>
      </c>
      <c r="O585" s="51">
        <v>0.157</v>
      </c>
      <c r="P585" s="51">
        <v>0.11600000000000001</v>
      </c>
    </row>
    <row r="586" spans="1:16" ht="14" customHeight="1" x14ac:dyDescent="0.25">
      <c r="A586" s="154"/>
      <c r="B586" s="11">
        <v>3</v>
      </c>
      <c r="C586" s="15" t="s">
        <v>99</v>
      </c>
      <c r="D586" s="18">
        <v>9.6</v>
      </c>
      <c r="E586" s="171">
        <v>5.2</v>
      </c>
      <c r="F586" s="17">
        <v>0.84615384615384504</v>
      </c>
      <c r="G586" s="17">
        <v>0.14392803598200901</v>
      </c>
      <c r="H586" s="51">
        <v>0.111587982832618</v>
      </c>
      <c r="J586" s="11">
        <v>3</v>
      </c>
      <c r="K586" s="15" t="s">
        <v>172</v>
      </c>
      <c r="L586" s="22">
        <v>44.1</v>
      </c>
      <c r="M586" s="23">
        <v>29.3</v>
      </c>
      <c r="N586" s="51">
        <v>0.503</v>
      </c>
      <c r="O586" s="51">
        <v>0.14499999999999999</v>
      </c>
      <c r="P586" s="51">
        <v>0.14499999999999999</v>
      </c>
    </row>
    <row r="587" spans="1:16" ht="14" customHeight="1" x14ac:dyDescent="0.25">
      <c r="A587" s="154"/>
      <c r="B587" s="11">
        <v>4</v>
      </c>
      <c r="C587" s="15" t="s">
        <v>102</v>
      </c>
      <c r="D587" s="18">
        <f>L587-L604</f>
        <v>3.6999999999999993</v>
      </c>
      <c r="E587" s="171">
        <f>M587-M604</f>
        <v>2.4999999999999982</v>
      </c>
      <c r="F587" s="17">
        <f t="shared" ref="F587:F595" si="167">D587/E587-1</f>
        <v>0.48000000000000087</v>
      </c>
      <c r="G587" s="17">
        <f t="shared" ref="G587:G595" si="168">D587/$D$595</f>
        <v>5.5472263868065939E-2</v>
      </c>
      <c r="H587" s="51">
        <f t="shared" ref="H587:H595" si="169">E587/$E$595</f>
        <v>5.3648068669527864E-2</v>
      </c>
      <c r="J587" s="11">
        <v>4</v>
      </c>
      <c r="K587" s="15" t="s">
        <v>102</v>
      </c>
      <c r="L587" s="18">
        <v>22.8</v>
      </c>
      <c r="M587" s="23">
        <v>16.399999999999999</v>
      </c>
      <c r="N587" s="51">
        <v>0.39200000000000002</v>
      </c>
      <c r="O587" s="51">
        <v>7.4999999999999997E-2</v>
      </c>
      <c r="P587" s="51">
        <v>8.1000000000000003E-2</v>
      </c>
    </row>
    <row r="588" spans="1:16" ht="14" customHeight="1" x14ac:dyDescent="0.25">
      <c r="A588" s="154"/>
      <c r="B588" s="11">
        <v>5</v>
      </c>
      <c r="C588" s="15" t="s">
        <v>25</v>
      </c>
      <c r="D588" s="18">
        <f>L588-L605</f>
        <v>3.5</v>
      </c>
      <c r="E588" s="171">
        <f>M588-M605</f>
        <v>2.2999999999999989</v>
      </c>
      <c r="F588" s="17">
        <f t="shared" si="167"/>
        <v>0.52173913043478337</v>
      </c>
      <c r="G588" s="17">
        <f t="shared" si="168"/>
        <v>5.2473763118440764E-2</v>
      </c>
      <c r="H588" s="51">
        <f t="shared" si="169"/>
        <v>4.9356223175965649E-2</v>
      </c>
      <c r="J588" s="11">
        <v>5</v>
      </c>
      <c r="K588" s="15" t="s">
        <v>25</v>
      </c>
      <c r="L588" s="18">
        <v>15.9</v>
      </c>
      <c r="M588" s="23">
        <v>13.7</v>
      </c>
      <c r="N588" s="51">
        <v>0.161</v>
      </c>
      <c r="O588" s="51">
        <v>5.1999999999999998E-2</v>
      </c>
      <c r="P588" s="51">
        <v>6.8000000000000005E-2</v>
      </c>
    </row>
    <row r="589" spans="1:16" ht="14" customHeight="1" x14ac:dyDescent="0.25">
      <c r="A589" s="154"/>
      <c r="B589" s="11">
        <v>6</v>
      </c>
      <c r="C589" s="15" t="s">
        <v>173</v>
      </c>
      <c r="D589" s="18">
        <f>L590-L607</f>
        <v>2.6999999999999993</v>
      </c>
      <c r="E589" s="171">
        <f>M590-M607</f>
        <v>2.1000000000000005</v>
      </c>
      <c r="F589" s="17">
        <f t="shared" si="167"/>
        <v>0.28571428571428514</v>
      </c>
      <c r="G589" s="17">
        <f t="shared" si="168"/>
        <v>4.0479760119940006E-2</v>
      </c>
      <c r="H589" s="51">
        <f t="shared" si="169"/>
        <v>4.5064377682403449E-2</v>
      </c>
      <c r="J589" s="11">
        <v>6</v>
      </c>
      <c r="K589" s="15" t="s">
        <v>100</v>
      </c>
      <c r="L589" s="18">
        <v>13</v>
      </c>
      <c r="M589" s="23">
        <v>8.1999999999999993</v>
      </c>
      <c r="N589" s="51">
        <v>0.58799999999999997</v>
      </c>
      <c r="O589" s="51">
        <v>4.2999999999999997E-2</v>
      </c>
      <c r="P589" s="51">
        <v>4.1000000000000002E-2</v>
      </c>
    </row>
    <row r="590" spans="1:16" ht="14" customHeight="1" x14ac:dyDescent="0.25">
      <c r="A590" s="154"/>
      <c r="B590" s="11">
        <v>7</v>
      </c>
      <c r="C590" s="15" t="s">
        <v>100</v>
      </c>
      <c r="D590" s="18">
        <f>L589-L606</f>
        <v>2.8000000000000007</v>
      </c>
      <c r="E590" s="171">
        <f>M589-M606</f>
        <v>1.6999999999999993</v>
      </c>
      <c r="F590" s="17">
        <f t="shared" si="167"/>
        <v>0.6470588235294128</v>
      </c>
      <c r="G590" s="17">
        <f t="shared" si="168"/>
        <v>4.1979010494752625E-2</v>
      </c>
      <c r="H590" s="51">
        <f t="shared" si="169"/>
        <v>3.6480686695278958E-2</v>
      </c>
      <c r="J590" s="11">
        <v>7</v>
      </c>
      <c r="K590" s="15" t="s">
        <v>173</v>
      </c>
      <c r="L590" s="18">
        <v>12.6</v>
      </c>
      <c r="M590" s="23">
        <v>9.8000000000000007</v>
      </c>
      <c r="N590" s="51">
        <v>0.28799999999999998</v>
      </c>
      <c r="O590" s="51">
        <v>4.1000000000000002E-2</v>
      </c>
      <c r="P590" s="51">
        <v>4.8000000000000001E-2</v>
      </c>
    </row>
    <row r="591" spans="1:16" ht="14" customHeight="1" x14ac:dyDescent="0.25">
      <c r="A591" s="154"/>
      <c r="B591" s="11">
        <v>8</v>
      </c>
      <c r="C591" s="15" t="s">
        <v>103</v>
      </c>
      <c r="D591" s="18">
        <f>L591-L609</f>
        <v>1.5</v>
      </c>
      <c r="E591" s="171">
        <f>M591-M609</f>
        <v>0.5</v>
      </c>
      <c r="F591" s="17">
        <f t="shared" si="167"/>
        <v>2</v>
      </c>
      <c r="G591" s="17">
        <f t="shared" si="168"/>
        <v>2.24887556221889E-2</v>
      </c>
      <c r="H591" s="51">
        <f t="shared" si="169"/>
        <v>1.0729613733905581E-2</v>
      </c>
      <c r="J591" s="11">
        <v>8</v>
      </c>
      <c r="K591" s="15" t="s">
        <v>103</v>
      </c>
      <c r="L591" s="18">
        <v>6.6</v>
      </c>
      <c r="M591" s="23">
        <v>2.6</v>
      </c>
      <c r="N591" s="51">
        <v>1.5169999999999999</v>
      </c>
      <c r="O591" s="51">
        <v>2.1999999999999999E-2</v>
      </c>
      <c r="P591" s="51">
        <v>1.2999999999999999E-2</v>
      </c>
    </row>
    <row r="592" spans="1:16" ht="14" customHeight="1" x14ac:dyDescent="0.25">
      <c r="A592" s="154"/>
      <c r="B592" s="11">
        <v>9</v>
      </c>
      <c r="C592" s="15" t="s">
        <v>101</v>
      </c>
      <c r="D592" s="18">
        <f>L592-L608</f>
        <v>1.2000000000000002</v>
      </c>
      <c r="E592" s="171">
        <f>M592-M608</f>
        <v>1.4000000000000004</v>
      </c>
      <c r="F592" s="17">
        <f t="shared" si="167"/>
        <v>-0.1428571428571429</v>
      </c>
      <c r="G592" s="17">
        <f t="shared" si="168"/>
        <v>1.7991004497751123E-2</v>
      </c>
      <c r="H592" s="51">
        <f t="shared" si="169"/>
        <v>3.0042918454935633E-2</v>
      </c>
      <c r="J592" s="11">
        <v>9</v>
      </c>
      <c r="K592" s="15" t="s">
        <v>101</v>
      </c>
      <c r="L592" s="18">
        <v>6.5</v>
      </c>
      <c r="M592" s="23">
        <v>5.5</v>
      </c>
      <c r="N592" s="51">
        <v>0.17799999999999999</v>
      </c>
      <c r="O592" s="51">
        <v>2.1000000000000001E-2</v>
      </c>
      <c r="P592" s="51">
        <v>2.7E-2</v>
      </c>
    </row>
    <row r="593" spans="1:16" ht="14" customHeight="1" x14ac:dyDescent="0.25">
      <c r="A593" s="154"/>
      <c r="B593" s="11">
        <v>10</v>
      </c>
      <c r="C593" s="15" t="s">
        <v>181</v>
      </c>
      <c r="D593" s="18">
        <f t="shared" ref="D593:E595" si="170">L593-L610</f>
        <v>0.79999999999999982</v>
      </c>
      <c r="E593" s="171">
        <f t="shared" si="170"/>
        <v>0.70000000000000018</v>
      </c>
      <c r="F593" s="17">
        <f t="shared" si="167"/>
        <v>0.14285714285714235</v>
      </c>
      <c r="G593" s="17">
        <f t="shared" si="168"/>
        <v>1.1994002998500744E-2</v>
      </c>
      <c r="H593" s="51">
        <f t="shared" si="169"/>
        <v>1.5021459227467816E-2</v>
      </c>
      <c r="J593" s="15">
        <v>10</v>
      </c>
      <c r="K593" s="15" t="s">
        <v>181</v>
      </c>
      <c r="L593" s="18">
        <v>4.5999999999999996</v>
      </c>
      <c r="M593" s="23">
        <v>3.2</v>
      </c>
      <c r="N593" s="51">
        <v>0.44900000000000001</v>
      </c>
      <c r="O593" s="51">
        <v>1.4999999999999999E-2</v>
      </c>
      <c r="P593" s="51">
        <v>1.6E-2</v>
      </c>
    </row>
    <row r="594" spans="1:16" ht="14" customHeight="1" x14ac:dyDescent="0.25">
      <c r="A594" s="154"/>
      <c r="B594" s="15"/>
      <c r="C594" s="15" t="s">
        <v>105</v>
      </c>
      <c r="D594" s="18">
        <f t="shared" si="170"/>
        <v>3.8000000000000007</v>
      </c>
      <c r="E594" s="171">
        <f t="shared" si="170"/>
        <v>4.2000000000000011</v>
      </c>
      <c r="F594" s="17">
        <f t="shared" si="167"/>
        <v>-9.5238095238095344E-2</v>
      </c>
      <c r="G594" s="17">
        <f t="shared" si="168"/>
        <v>5.6971514242878558E-2</v>
      </c>
      <c r="H594" s="51">
        <f t="shared" si="169"/>
        <v>9.0128755364806898E-2</v>
      </c>
      <c r="J594" s="15"/>
      <c r="K594" s="15" t="s">
        <v>105</v>
      </c>
      <c r="L594" s="18">
        <v>18.3</v>
      </c>
      <c r="M594" s="23">
        <v>18.600000000000001</v>
      </c>
      <c r="N594" s="51">
        <v>-0.02</v>
      </c>
      <c r="O594" s="51">
        <v>0.06</v>
      </c>
      <c r="P594" s="51">
        <v>9.1999999999999998E-2</v>
      </c>
    </row>
    <row r="595" spans="1:16" ht="14" customHeight="1" x14ac:dyDescent="0.25">
      <c r="A595" s="154"/>
      <c r="B595" s="15" t="s">
        <v>130</v>
      </c>
      <c r="C595" s="15"/>
      <c r="D595" s="18">
        <f t="shared" si="170"/>
        <v>66.700000000000017</v>
      </c>
      <c r="E595" s="171">
        <f t="shared" si="170"/>
        <v>46.599999999999994</v>
      </c>
      <c r="F595" s="17">
        <f t="shared" si="167"/>
        <v>0.4313304721030049</v>
      </c>
      <c r="G595" s="17">
        <f t="shared" si="168"/>
        <v>1</v>
      </c>
      <c r="H595" s="51">
        <f t="shared" si="169"/>
        <v>1</v>
      </c>
      <c r="J595" s="15" t="s">
        <v>130</v>
      </c>
      <c r="K595" s="15"/>
      <c r="L595" s="18">
        <v>304.3</v>
      </c>
      <c r="M595" s="18">
        <v>202.8</v>
      </c>
      <c r="N595" s="51">
        <f>L595/M595-1</f>
        <v>0.50049309664694275</v>
      </c>
      <c r="O595" s="51">
        <v>1</v>
      </c>
      <c r="P595" s="51">
        <v>1</v>
      </c>
    </row>
    <row r="596" spans="1:16" ht="14" customHeight="1" x14ac:dyDescent="0.25">
      <c r="A596" s="154"/>
      <c r="B596" s="15"/>
      <c r="C596" s="15"/>
      <c r="D596" s="18"/>
      <c r="E596" s="171"/>
      <c r="F596" s="17"/>
      <c r="G596" s="17"/>
      <c r="H596" s="51"/>
      <c r="J596" s="15"/>
      <c r="K596" s="15"/>
      <c r="L596" s="18"/>
      <c r="M596" s="18"/>
      <c r="N596" s="51"/>
      <c r="O596" s="51"/>
      <c r="P596" s="51"/>
    </row>
    <row r="597" spans="1:16" ht="14" customHeight="1" x14ac:dyDescent="0.25">
      <c r="A597" s="154"/>
    </row>
    <row r="598" spans="1:16" ht="14" customHeight="1" x14ac:dyDescent="0.25">
      <c r="A598" s="154"/>
    </row>
    <row r="599" spans="1:16" ht="14" customHeight="1" x14ac:dyDescent="0.25">
      <c r="A599" s="154"/>
      <c r="B599" s="11" t="s">
        <v>201</v>
      </c>
      <c r="C599" s="11"/>
      <c r="D599" s="11"/>
      <c r="E599" s="11"/>
      <c r="F599" s="11"/>
      <c r="G599" s="11"/>
      <c r="H599" s="11"/>
      <c r="J599" s="10" t="s">
        <v>202</v>
      </c>
      <c r="K599" s="11"/>
      <c r="L599" s="11"/>
      <c r="M599" s="11"/>
      <c r="N599" s="11"/>
      <c r="O599" s="11"/>
      <c r="P599" s="11"/>
    </row>
    <row r="600" spans="1:16" ht="14" customHeight="1" x14ac:dyDescent="0.25">
      <c r="A600" s="154"/>
      <c r="B600" s="11" t="s">
        <v>96</v>
      </c>
      <c r="C600" s="15" t="s">
        <v>123</v>
      </c>
      <c r="D600" s="19">
        <v>45047</v>
      </c>
      <c r="E600" s="19">
        <v>44682</v>
      </c>
      <c r="F600" s="15" t="s">
        <v>34</v>
      </c>
      <c r="G600" s="15" t="s">
        <v>124</v>
      </c>
      <c r="H600" s="15" t="s">
        <v>176</v>
      </c>
      <c r="J600" s="11" t="s">
        <v>96</v>
      </c>
      <c r="K600" s="15" t="s">
        <v>123</v>
      </c>
      <c r="L600" s="19" t="s">
        <v>158</v>
      </c>
      <c r="M600" s="19" t="s">
        <v>203</v>
      </c>
      <c r="N600" s="21" t="s">
        <v>34</v>
      </c>
      <c r="O600" s="21" t="s">
        <v>179</v>
      </c>
      <c r="P600" s="21" t="s">
        <v>180</v>
      </c>
    </row>
    <row r="601" spans="1:16" ht="14" customHeight="1" x14ac:dyDescent="0.25">
      <c r="A601" s="154"/>
      <c r="B601" s="11">
        <v>1</v>
      </c>
      <c r="C601" s="15" t="s">
        <v>98</v>
      </c>
      <c r="D601" s="18">
        <f>L601-L618</f>
        <v>20.600000000000009</v>
      </c>
      <c r="E601" s="171">
        <f>M601-M618</f>
        <v>11.899999999999999</v>
      </c>
      <c r="F601" s="17">
        <f>D601/E601-1</f>
        <v>0.73109243697479087</v>
      </c>
      <c r="G601" s="17">
        <f>D601/$D$612</f>
        <v>0.37386569872958275</v>
      </c>
      <c r="H601" s="51">
        <f>E601/$E$612</f>
        <v>0.35311572700296728</v>
      </c>
      <c r="J601" s="11">
        <v>1</v>
      </c>
      <c r="K601" s="15" t="s">
        <v>98</v>
      </c>
      <c r="L601" s="18">
        <v>86.2</v>
      </c>
      <c r="M601" s="23">
        <v>54</v>
      </c>
      <c r="N601" s="51">
        <v>0.59599999999999997</v>
      </c>
      <c r="O601" s="51">
        <v>0.36299999999999999</v>
      </c>
      <c r="P601" s="51">
        <v>0.34599999999999997</v>
      </c>
    </row>
    <row r="602" spans="1:16" ht="14" customHeight="1" x14ac:dyDescent="0.25">
      <c r="A602" s="154"/>
      <c r="B602" s="11">
        <v>2</v>
      </c>
      <c r="C602" s="15" t="s">
        <v>99</v>
      </c>
      <c r="D602" s="18">
        <f>L602-L619</f>
        <v>8.7000000000000028</v>
      </c>
      <c r="E602" s="171">
        <f t="shared" ref="E602:E612" si="171">M602-M619</f>
        <v>4.2999999999999989</v>
      </c>
      <c r="F602" s="17">
        <f t="shared" ref="F602:F612" si="172">D602/E602-1</f>
        <v>1.0232558139534897</v>
      </c>
      <c r="G602" s="17">
        <f t="shared" ref="G602:G612" si="173">D602/$D$612</f>
        <v>0.15789473684210534</v>
      </c>
      <c r="H602" s="51">
        <f t="shared" ref="H602:H612" si="174">E602/$E$612</f>
        <v>0.12759643916913943</v>
      </c>
      <c r="J602" s="11">
        <v>2</v>
      </c>
      <c r="K602" s="15" t="s">
        <v>99</v>
      </c>
      <c r="L602" s="18">
        <v>38.1</v>
      </c>
      <c r="M602" s="23">
        <v>18.399999999999999</v>
      </c>
      <c r="N602" s="51">
        <v>1.0780000000000001</v>
      </c>
      <c r="O602" s="51">
        <v>0.161</v>
      </c>
      <c r="P602" s="51">
        <v>0.11799999999999999</v>
      </c>
    </row>
    <row r="603" spans="1:16" ht="14" customHeight="1" x14ac:dyDescent="0.25">
      <c r="A603" s="154"/>
      <c r="B603" s="11">
        <v>3</v>
      </c>
      <c r="C603" s="15" t="s">
        <v>172</v>
      </c>
      <c r="D603" s="18">
        <f>L603-L620</f>
        <v>7.3000000000000007</v>
      </c>
      <c r="E603" s="171">
        <f t="shared" si="171"/>
        <v>4</v>
      </c>
      <c r="F603" s="17">
        <f t="shared" si="172"/>
        <v>0.82500000000000018</v>
      </c>
      <c r="G603" s="17">
        <f t="shared" si="173"/>
        <v>0.13248638838475502</v>
      </c>
      <c r="H603" s="51">
        <f t="shared" si="174"/>
        <v>0.11869436201780414</v>
      </c>
      <c r="J603" s="11">
        <v>3</v>
      </c>
      <c r="K603" s="15" t="s">
        <v>172</v>
      </c>
      <c r="L603" s="22">
        <v>33</v>
      </c>
      <c r="M603" s="23">
        <v>21.2</v>
      </c>
      <c r="N603" s="51">
        <v>0.56000000000000005</v>
      </c>
      <c r="O603" s="51">
        <v>0.13900000000000001</v>
      </c>
      <c r="P603" s="51">
        <v>0.13600000000000001</v>
      </c>
    </row>
    <row r="604" spans="1:16" ht="14" customHeight="1" x14ac:dyDescent="0.25">
      <c r="A604" s="154"/>
      <c r="B604" s="11">
        <v>4</v>
      </c>
      <c r="C604" s="15" t="s">
        <v>102</v>
      </c>
      <c r="D604" s="18">
        <f>L604-L621</f>
        <v>4.0000000000000018</v>
      </c>
      <c r="E604" s="171">
        <f t="shared" si="171"/>
        <v>2.8000000000000007</v>
      </c>
      <c r="F604" s="17">
        <f t="shared" si="172"/>
        <v>0.42857142857142883</v>
      </c>
      <c r="G604" s="17">
        <f t="shared" si="173"/>
        <v>7.2595281306715109E-2</v>
      </c>
      <c r="H604" s="51">
        <f t="shared" si="174"/>
        <v>8.3086053412462918E-2</v>
      </c>
      <c r="J604" s="11">
        <v>4</v>
      </c>
      <c r="K604" s="15" t="s">
        <v>102</v>
      </c>
      <c r="L604" s="18">
        <v>19.100000000000001</v>
      </c>
      <c r="M604" s="23">
        <v>13.9</v>
      </c>
      <c r="N604" s="51">
        <v>0.371</v>
      </c>
      <c r="O604" s="51">
        <v>0.08</v>
      </c>
      <c r="P604" s="51">
        <v>8.8999999999999996E-2</v>
      </c>
    </row>
    <row r="605" spans="1:16" ht="14" customHeight="1" x14ac:dyDescent="0.25">
      <c r="A605" s="154"/>
      <c r="B605" s="11">
        <v>5</v>
      </c>
      <c r="C605" s="15" t="s">
        <v>25</v>
      </c>
      <c r="D605" s="18">
        <f>L605-L622</f>
        <v>2.9000000000000004</v>
      </c>
      <c r="E605" s="171">
        <f t="shared" si="171"/>
        <v>2.4000000000000004</v>
      </c>
      <c r="F605" s="17">
        <f t="shared" si="172"/>
        <v>0.20833333333333326</v>
      </c>
      <c r="G605" s="17">
        <f t="shared" si="173"/>
        <v>5.2631578947368432E-2</v>
      </c>
      <c r="H605" s="51">
        <f t="shared" si="174"/>
        <v>7.1216617210682495E-2</v>
      </c>
      <c r="J605" s="11">
        <v>5</v>
      </c>
      <c r="K605" s="15" t="s">
        <v>25</v>
      </c>
      <c r="L605" s="18">
        <v>12.4</v>
      </c>
      <c r="M605" s="23">
        <v>11.4</v>
      </c>
      <c r="N605" s="51">
        <v>0.09</v>
      </c>
      <c r="O605" s="51">
        <v>5.1999999999999998E-2</v>
      </c>
      <c r="P605" s="51">
        <v>7.2999999999999995E-2</v>
      </c>
    </row>
    <row r="606" spans="1:16" ht="14" customHeight="1" x14ac:dyDescent="0.25">
      <c r="A606" s="154"/>
      <c r="B606" s="11">
        <v>6</v>
      </c>
      <c r="C606" s="15" t="s">
        <v>173</v>
      </c>
      <c r="D606" s="18">
        <v>2.4</v>
      </c>
      <c r="E606" s="171">
        <v>1.8</v>
      </c>
      <c r="F606" s="17">
        <f t="shared" si="172"/>
        <v>0.33333333333333326</v>
      </c>
      <c r="G606" s="17">
        <f t="shared" si="173"/>
        <v>4.3557168784029043E-2</v>
      </c>
      <c r="H606" s="51">
        <f t="shared" si="174"/>
        <v>5.3412462908011868E-2</v>
      </c>
      <c r="J606" s="11">
        <v>6</v>
      </c>
      <c r="K606" s="15" t="s">
        <v>100</v>
      </c>
      <c r="L606" s="18">
        <v>10.199999999999999</v>
      </c>
      <c r="M606" s="23">
        <v>6.5</v>
      </c>
      <c r="N606" s="51">
        <v>0.55600000000000005</v>
      </c>
      <c r="O606" s="51">
        <v>4.2999999999999997E-2</v>
      </c>
      <c r="P606" s="51">
        <v>4.2000000000000003E-2</v>
      </c>
    </row>
    <row r="607" spans="1:16" ht="14" customHeight="1" x14ac:dyDescent="0.25">
      <c r="A607" s="154"/>
      <c r="B607" s="11">
        <v>7</v>
      </c>
      <c r="C607" s="15" t="s">
        <v>100</v>
      </c>
      <c r="D607" s="18">
        <v>1.8</v>
      </c>
      <c r="E607" s="171">
        <v>1.4</v>
      </c>
      <c r="F607" s="17">
        <f t="shared" si="172"/>
        <v>0.28571428571428581</v>
      </c>
      <c r="G607" s="17">
        <f t="shared" si="173"/>
        <v>3.2667876588021783E-2</v>
      </c>
      <c r="H607" s="51">
        <f t="shared" si="174"/>
        <v>4.1543026706231445E-2</v>
      </c>
      <c r="J607" s="11">
        <v>7</v>
      </c>
      <c r="K607" s="15" t="s">
        <v>173</v>
      </c>
      <c r="L607" s="18">
        <v>9.9</v>
      </c>
      <c r="M607" s="23">
        <v>7.7</v>
      </c>
      <c r="N607" s="51">
        <v>0.28799999999999998</v>
      </c>
      <c r="O607" s="51">
        <v>4.2000000000000003E-2</v>
      </c>
      <c r="P607" s="51">
        <v>4.9000000000000002E-2</v>
      </c>
    </row>
    <row r="608" spans="1:16" ht="14" customHeight="1" x14ac:dyDescent="0.25">
      <c r="A608" s="154"/>
      <c r="B608" s="11">
        <v>8</v>
      </c>
      <c r="C608" s="15" t="s">
        <v>103</v>
      </c>
      <c r="D608" s="18">
        <v>1.7</v>
      </c>
      <c r="E608" s="171">
        <v>0.4</v>
      </c>
      <c r="F608" s="17">
        <f t="shared" si="172"/>
        <v>3.25</v>
      </c>
      <c r="G608" s="17">
        <f t="shared" si="173"/>
        <v>3.0852994555353903E-2</v>
      </c>
      <c r="H608" s="51">
        <f t="shared" si="174"/>
        <v>1.1869436201780416E-2</v>
      </c>
      <c r="J608" s="11">
        <v>8</v>
      </c>
      <c r="K608" s="15" t="s">
        <v>101</v>
      </c>
      <c r="L608" s="18">
        <v>5.3</v>
      </c>
      <c r="M608" s="23">
        <v>4.0999999999999996</v>
      </c>
      <c r="N608" s="51">
        <v>0.29099999999999998</v>
      </c>
      <c r="O608" s="51">
        <v>2.1999999999999999E-2</v>
      </c>
      <c r="P608" s="51">
        <v>2.5999999999999999E-2</v>
      </c>
    </row>
    <row r="609" spans="1:16" ht="14" customHeight="1" x14ac:dyDescent="0.25">
      <c r="A609" s="154"/>
      <c r="B609" s="11">
        <v>9</v>
      </c>
      <c r="C609" s="15" t="s">
        <v>101</v>
      </c>
      <c r="D609" s="18">
        <v>0.9</v>
      </c>
      <c r="E609" s="171">
        <v>0.9</v>
      </c>
      <c r="F609" s="17">
        <f t="shared" si="172"/>
        <v>0</v>
      </c>
      <c r="G609" s="17">
        <f t="shared" si="173"/>
        <v>1.6333938294010891E-2</v>
      </c>
      <c r="H609" s="51">
        <f t="shared" si="174"/>
        <v>2.6706231454005934E-2</v>
      </c>
      <c r="J609" s="11">
        <v>9</v>
      </c>
      <c r="K609" s="15" t="s">
        <v>103</v>
      </c>
      <c r="L609" s="18">
        <v>5.0999999999999996</v>
      </c>
      <c r="M609" s="23">
        <v>2.1</v>
      </c>
      <c r="N609" s="51">
        <v>1.5069999999999999</v>
      </c>
      <c r="O609" s="51">
        <v>2.1999999999999999E-2</v>
      </c>
      <c r="P609" s="51">
        <v>1.2999999999999999E-2</v>
      </c>
    </row>
    <row r="610" spans="1:16" ht="14" customHeight="1" x14ac:dyDescent="0.25">
      <c r="A610" s="154"/>
      <c r="B610" s="11">
        <v>10</v>
      </c>
      <c r="C610" s="15" t="s">
        <v>181</v>
      </c>
      <c r="D610" s="18">
        <f t="shared" ref="D610:D612" si="175">L610-L627</f>
        <v>1</v>
      </c>
      <c r="E610" s="171">
        <f t="shared" si="171"/>
        <v>0.60000000000000009</v>
      </c>
      <c r="F610" s="17">
        <f t="shared" si="172"/>
        <v>0.66666666666666652</v>
      </c>
      <c r="G610" s="17">
        <f t="shared" si="173"/>
        <v>1.8148820326678767E-2</v>
      </c>
      <c r="H610" s="51">
        <f t="shared" si="174"/>
        <v>1.7804154302670624E-2</v>
      </c>
      <c r="J610" s="15">
        <v>10</v>
      </c>
      <c r="K610" s="15" t="s">
        <v>181</v>
      </c>
      <c r="L610" s="18">
        <v>3.8</v>
      </c>
      <c r="M610" s="23">
        <v>2.5</v>
      </c>
      <c r="N610" s="51">
        <v>0.51900000000000002</v>
      </c>
      <c r="O610" s="51">
        <v>1.6E-2</v>
      </c>
      <c r="P610" s="51">
        <v>1.6E-2</v>
      </c>
    </row>
    <row r="611" spans="1:16" ht="14" customHeight="1" x14ac:dyDescent="0.25">
      <c r="A611" s="154"/>
      <c r="B611" s="15"/>
      <c r="C611" s="15" t="s">
        <v>105</v>
      </c>
      <c r="D611" s="18">
        <f t="shared" si="175"/>
        <v>3.6999999999999993</v>
      </c>
      <c r="E611" s="171">
        <f t="shared" si="171"/>
        <v>3.2000000000000011</v>
      </c>
      <c r="F611" s="17">
        <f t="shared" si="172"/>
        <v>0.15624999999999933</v>
      </c>
      <c r="G611" s="17">
        <f t="shared" si="173"/>
        <v>6.7150635208711423E-2</v>
      </c>
      <c r="H611" s="51">
        <f t="shared" si="174"/>
        <v>9.4955489614243341E-2</v>
      </c>
      <c r="J611" s="15"/>
      <c r="K611" s="15" t="s">
        <v>105</v>
      </c>
      <c r="L611" s="18">
        <v>14.5</v>
      </c>
      <c r="M611" s="23">
        <v>14.4</v>
      </c>
      <c r="N611" s="51">
        <v>1.2E-2</v>
      </c>
      <c r="O611" s="51">
        <v>6.0999999999999999E-2</v>
      </c>
      <c r="P611" s="51">
        <v>9.1999999999999998E-2</v>
      </c>
    </row>
    <row r="612" spans="1:16" ht="14" customHeight="1" x14ac:dyDescent="0.25">
      <c r="A612" s="154"/>
      <c r="B612" s="15" t="s">
        <v>130</v>
      </c>
      <c r="C612" s="15"/>
      <c r="D612" s="18">
        <f t="shared" si="175"/>
        <v>55.099999999999994</v>
      </c>
      <c r="E612" s="171">
        <f t="shared" si="171"/>
        <v>33.700000000000003</v>
      </c>
      <c r="F612" s="17">
        <f t="shared" si="172"/>
        <v>0.63501483679525195</v>
      </c>
      <c r="G612" s="17">
        <f t="shared" si="173"/>
        <v>1</v>
      </c>
      <c r="H612" s="51">
        <f t="shared" si="174"/>
        <v>1</v>
      </c>
      <c r="J612" s="15" t="s">
        <v>130</v>
      </c>
      <c r="K612" s="15"/>
      <c r="L612" s="18">
        <v>237.6</v>
      </c>
      <c r="M612" s="18">
        <f>SUM(M601:M611)</f>
        <v>156.20000000000002</v>
      </c>
      <c r="N612" s="51">
        <f>L612/M612-1</f>
        <v>0.52112676056338003</v>
      </c>
      <c r="O612" s="51">
        <v>1</v>
      </c>
      <c r="P612" s="51">
        <v>1</v>
      </c>
    </row>
    <row r="613" spans="1:16" ht="14" customHeight="1" x14ac:dyDescent="0.25">
      <c r="A613" s="154"/>
      <c r="B613" s="15"/>
      <c r="C613" s="15"/>
      <c r="D613" s="18"/>
      <c r="E613" s="18"/>
      <c r="F613" s="17"/>
      <c r="G613" s="17"/>
      <c r="H613" s="51"/>
      <c r="J613" s="15"/>
      <c r="K613" s="15"/>
      <c r="L613" s="18"/>
      <c r="M613" s="18"/>
      <c r="N613" s="51"/>
      <c r="O613" s="51"/>
      <c r="P613" s="51"/>
    </row>
    <row r="614" spans="1:16" ht="14" customHeight="1" x14ac:dyDescent="0.25">
      <c r="A614" s="154"/>
    </row>
    <row r="616" spans="1:16" ht="14" customHeight="1" x14ac:dyDescent="0.25">
      <c r="A616" s="154"/>
      <c r="B616" s="11" t="s">
        <v>204</v>
      </c>
      <c r="C616" s="11"/>
      <c r="D616" s="11"/>
      <c r="E616" s="11"/>
      <c r="F616" s="11"/>
      <c r="G616" s="11"/>
      <c r="H616" s="11"/>
      <c r="J616" s="10" t="s">
        <v>205</v>
      </c>
      <c r="K616" s="11"/>
      <c r="L616" s="11"/>
      <c r="M616" s="11"/>
      <c r="N616" s="11"/>
      <c r="O616" s="11"/>
      <c r="P616" s="11"/>
    </row>
    <row r="617" spans="1:16" ht="14" customHeight="1" x14ac:dyDescent="0.25">
      <c r="A617" s="154"/>
      <c r="B617" s="11" t="s">
        <v>96</v>
      </c>
      <c r="C617" s="15" t="s">
        <v>123</v>
      </c>
      <c r="D617" s="19">
        <v>45017</v>
      </c>
      <c r="E617" s="19">
        <v>44652</v>
      </c>
      <c r="F617" s="15" t="s">
        <v>34</v>
      </c>
      <c r="G617" s="15" t="s">
        <v>124</v>
      </c>
      <c r="H617" s="15" t="s">
        <v>176</v>
      </c>
      <c r="J617" s="11" t="s">
        <v>96</v>
      </c>
      <c r="K617" s="15" t="s">
        <v>123</v>
      </c>
      <c r="L617" s="19" t="s">
        <v>162</v>
      </c>
      <c r="M617" s="19" t="s">
        <v>206</v>
      </c>
      <c r="N617" s="21" t="s">
        <v>34</v>
      </c>
      <c r="O617" s="21" t="s">
        <v>179</v>
      </c>
      <c r="P617" s="21" t="s">
        <v>180</v>
      </c>
    </row>
    <row r="618" spans="1:16" ht="14" customHeight="1" x14ac:dyDescent="0.25">
      <c r="A618" s="154"/>
      <c r="B618" s="11">
        <v>1</v>
      </c>
      <c r="C618" s="15" t="s">
        <v>98</v>
      </c>
      <c r="D618" s="18">
        <v>19</v>
      </c>
      <c r="E618" s="21">
        <v>7.8</v>
      </c>
      <c r="F618" s="17">
        <f t="shared" ref="F618:F629" si="176">D618/E618-1</f>
        <v>1.4358974358974361</v>
      </c>
      <c r="G618" s="17">
        <f>D618/$D$629</f>
        <v>0.38383838383838381</v>
      </c>
      <c r="H618" s="51">
        <f>E618/$E$629</f>
        <v>0.2932330827067669</v>
      </c>
      <c r="J618" s="11">
        <v>1</v>
      </c>
      <c r="K618" s="15" t="s">
        <v>98</v>
      </c>
      <c r="L618" s="18">
        <v>65.599999999999994</v>
      </c>
      <c r="M618" s="23">
        <v>42.1</v>
      </c>
      <c r="N618" s="51">
        <v>0.55600000000000005</v>
      </c>
      <c r="O618" s="51">
        <v>0.35899999999999999</v>
      </c>
      <c r="P618" s="51">
        <v>0.34399999999999997</v>
      </c>
    </row>
    <row r="619" spans="1:16" ht="14" customHeight="1" x14ac:dyDescent="0.25">
      <c r="A619" s="154"/>
      <c r="B619" s="11">
        <v>2</v>
      </c>
      <c r="C619" s="15" t="s">
        <v>99</v>
      </c>
      <c r="D619" s="18">
        <v>7.9</v>
      </c>
      <c r="E619" s="21">
        <v>4.0999999999999996</v>
      </c>
      <c r="F619" s="17">
        <f t="shared" si="176"/>
        <v>0.92682926829268308</v>
      </c>
      <c r="G619" s="17">
        <f t="shared" ref="G619:G629" si="177">D619/$D$629</f>
        <v>0.1595959595959596</v>
      </c>
      <c r="H619" s="51">
        <f t="shared" ref="H619:H629" si="178">E619/$E$629</f>
        <v>0.15413533834586465</v>
      </c>
      <c r="J619" s="11">
        <v>2</v>
      </c>
      <c r="K619" s="15" t="s">
        <v>99</v>
      </c>
      <c r="L619" s="18">
        <v>29.4</v>
      </c>
      <c r="M619" s="23">
        <v>14.1</v>
      </c>
      <c r="N619" s="51">
        <v>1.083</v>
      </c>
      <c r="O619" s="51">
        <v>0.161</v>
      </c>
      <c r="P619" s="51">
        <v>0.115</v>
      </c>
    </row>
    <row r="620" spans="1:16" ht="14" customHeight="1" x14ac:dyDescent="0.25">
      <c r="A620" s="154"/>
      <c r="B620" s="11">
        <v>3</v>
      </c>
      <c r="C620" s="15" t="s">
        <v>172</v>
      </c>
      <c r="D620" s="18">
        <v>6.4</v>
      </c>
      <c r="E620" s="21">
        <v>3.2</v>
      </c>
      <c r="F620" s="17">
        <f t="shared" si="176"/>
        <v>1</v>
      </c>
      <c r="G620" s="17">
        <f t="shared" si="177"/>
        <v>0.12929292929292929</v>
      </c>
      <c r="H620" s="51">
        <f t="shared" si="178"/>
        <v>0.12030075187969924</v>
      </c>
      <c r="J620" s="11">
        <v>3</v>
      </c>
      <c r="K620" s="15" t="s">
        <v>172</v>
      </c>
      <c r="L620" s="22">
        <v>25.7</v>
      </c>
      <c r="M620" s="23">
        <v>17.2</v>
      </c>
      <c r="N620" s="51">
        <v>0.49299999999999999</v>
      </c>
      <c r="O620" s="51">
        <v>0.14099999999999999</v>
      </c>
      <c r="P620" s="51">
        <v>0.14099999999999999</v>
      </c>
    </row>
    <row r="621" spans="1:16" ht="14" customHeight="1" x14ac:dyDescent="0.25">
      <c r="A621" s="154"/>
      <c r="B621" s="11">
        <v>4</v>
      </c>
      <c r="C621" s="15" t="s">
        <v>102</v>
      </c>
      <c r="D621" s="18">
        <v>3.2</v>
      </c>
      <c r="E621" s="21">
        <v>2.4</v>
      </c>
      <c r="F621" s="17">
        <f t="shared" si="176"/>
        <v>0.33333333333333348</v>
      </c>
      <c r="G621" s="17">
        <f t="shared" si="177"/>
        <v>6.4646464646464646E-2</v>
      </c>
      <c r="H621" s="51">
        <f t="shared" si="178"/>
        <v>9.0225563909774431E-2</v>
      </c>
      <c r="J621" s="11">
        <v>4</v>
      </c>
      <c r="K621" s="15" t="s">
        <v>102</v>
      </c>
      <c r="L621" s="18">
        <v>15.1</v>
      </c>
      <c r="M621" s="23">
        <v>11.1</v>
      </c>
      <c r="N621" s="51">
        <v>0.35899999999999999</v>
      </c>
      <c r="O621" s="51">
        <v>8.2000000000000003E-2</v>
      </c>
      <c r="P621" s="51">
        <v>0.09</v>
      </c>
    </row>
    <row r="622" spans="1:16" ht="14" customHeight="1" x14ac:dyDescent="0.25">
      <c r="A622" s="154"/>
      <c r="B622" s="11">
        <v>5</v>
      </c>
      <c r="C622" s="15" t="s">
        <v>100</v>
      </c>
      <c r="D622" s="18">
        <v>2.7</v>
      </c>
      <c r="E622" s="21">
        <v>1</v>
      </c>
      <c r="F622" s="17">
        <f t="shared" si="176"/>
        <v>1.7000000000000002</v>
      </c>
      <c r="G622" s="17">
        <f t="shared" si="177"/>
        <v>5.454545454545455E-2</v>
      </c>
      <c r="H622" s="51">
        <f t="shared" si="178"/>
        <v>3.7593984962406013E-2</v>
      </c>
      <c r="J622" s="11">
        <v>5</v>
      </c>
      <c r="K622" s="15" t="s">
        <v>25</v>
      </c>
      <c r="L622" s="18">
        <v>9.5</v>
      </c>
      <c r="M622" s="23">
        <v>9</v>
      </c>
      <c r="N622" s="51">
        <v>5.2999999999999999E-2</v>
      </c>
      <c r="O622" s="51">
        <v>5.1999999999999998E-2</v>
      </c>
      <c r="P622" s="51">
        <v>7.3999999999999996E-2</v>
      </c>
    </row>
    <row r="623" spans="1:16" ht="14" customHeight="1" x14ac:dyDescent="0.25">
      <c r="A623" s="154"/>
      <c r="B623" s="11">
        <v>6</v>
      </c>
      <c r="C623" s="15" t="s">
        <v>25</v>
      </c>
      <c r="D623" s="18">
        <v>2.4</v>
      </c>
      <c r="E623" s="21">
        <v>2.2999999999999998</v>
      </c>
      <c r="F623" s="17">
        <f t="shared" si="176"/>
        <v>4.3478260869565188E-2</v>
      </c>
      <c r="G623" s="17">
        <f t="shared" si="177"/>
        <v>4.8484848484848485E-2</v>
      </c>
      <c r="H623" s="51">
        <f t="shared" si="178"/>
        <v>8.646616541353383E-2</v>
      </c>
      <c r="J623" s="11">
        <v>6</v>
      </c>
      <c r="K623" s="15" t="s">
        <v>100</v>
      </c>
      <c r="L623" s="18">
        <v>8.4</v>
      </c>
      <c r="M623" s="23">
        <v>5.0999999999999996</v>
      </c>
      <c r="N623" s="51">
        <v>0.65</v>
      </c>
      <c r="O623" s="51">
        <v>4.5999999999999999E-2</v>
      </c>
      <c r="P623" s="51">
        <v>4.1000000000000002E-2</v>
      </c>
    </row>
    <row r="624" spans="1:16" ht="14" customHeight="1" x14ac:dyDescent="0.25">
      <c r="A624" s="154"/>
      <c r="B624" s="11">
        <v>7</v>
      </c>
      <c r="C624" s="15" t="s">
        <v>101</v>
      </c>
      <c r="D624" s="18">
        <v>1.5</v>
      </c>
      <c r="E624" s="21">
        <v>0.6</v>
      </c>
      <c r="F624" s="17">
        <f t="shared" si="176"/>
        <v>1.5</v>
      </c>
      <c r="G624" s="17">
        <f t="shared" si="177"/>
        <v>3.0303030303030304E-2</v>
      </c>
      <c r="H624" s="51">
        <f t="shared" si="178"/>
        <v>2.2556390977443608E-2</v>
      </c>
      <c r="J624" s="11">
        <v>7</v>
      </c>
      <c r="K624" s="15" t="s">
        <v>173</v>
      </c>
      <c r="L624" s="18">
        <v>7.5</v>
      </c>
      <c r="M624" s="23">
        <v>5.9</v>
      </c>
      <c r="N624" s="51">
        <v>0.28399999999999997</v>
      </c>
      <c r="O624" s="51">
        <v>4.1000000000000002E-2</v>
      </c>
      <c r="P624" s="51">
        <v>4.8000000000000001E-2</v>
      </c>
    </row>
    <row r="625" spans="1:16" ht="14" customHeight="1" x14ac:dyDescent="0.25">
      <c r="A625" s="154"/>
      <c r="B625" s="11">
        <v>8</v>
      </c>
      <c r="C625" s="15" t="s">
        <v>173</v>
      </c>
      <c r="D625" s="18">
        <v>1</v>
      </c>
      <c r="E625" s="21">
        <v>1.6</v>
      </c>
      <c r="F625" s="17">
        <f t="shared" si="176"/>
        <v>-0.375</v>
      </c>
      <c r="G625" s="17">
        <f t="shared" si="177"/>
        <v>2.0202020202020204E-2</v>
      </c>
      <c r="H625" s="51">
        <f t="shared" si="178"/>
        <v>6.0150375939849621E-2</v>
      </c>
      <c r="J625" s="11">
        <v>8</v>
      </c>
      <c r="K625" s="15" t="s">
        <v>101</v>
      </c>
      <c r="L625" s="18">
        <v>4.4000000000000004</v>
      </c>
      <c r="M625" s="23">
        <v>3.2</v>
      </c>
      <c r="N625" s="51">
        <v>0.38400000000000001</v>
      </c>
      <c r="O625" s="51">
        <v>2.4E-2</v>
      </c>
      <c r="P625" s="51">
        <v>2.5999999999999999E-2</v>
      </c>
    </row>
    <row r="626" spans="1:16" ht="14" customHeight="1" x14ac:dyDescent="0.25">
      <c r="A626" s="154"/>
      <c r="B626" s="11">
        <v>9</v>
      </c>
      <c r="C626" s="15" t="s">
        <v>103</v>
      </c>
      <c r="D626" s="18">
        <v>1</v>
      </c>
      <c r="E626" s="21">
        <v>0.3</v>
      </c>
      <c r="F626" s="17">
        <f t="shared" si="176"/>
        <v>2.3333333333333335</v>
      </c>
      <c r="G626" s="17">
        <f t="shared" si="177"/>
        <v>2.0202020202020204E-2</v>
      </c>
      <c r="H626" s="51">
        <f t="shared" si="178"/>
        <v>1.1278195488721804E-2</v>
      </c>
      <c r="J626" s="11">
        <v>9</v>
      </c>
      <c r="K626" s="15" t="s">
        <v>103</v>
      </c>
      <c r="L626" s="18">
        <v>3.4</v>
      </c>
      <c r="M626" s="23">
        <v>1.7</v>
      </c>
      <c r="N626" s="51">
        <v>0.96599999999999997</v>
      </c>
      <c r="O626" s="51">
        <v>1.7999999999999999E-2</v>
      </c>
      <c r="P626" s="51">
        <v>1.4E-2</v>
      </c>
    </row>
    <row r="627" spans="1:16" ht="14" customHeight="1" x14ac:dyDescent="0.25">
      <c r="A627" s="154"/>
      <c r="B627" s="11">
        <v>10</v>
      </c>
      <c r="C627" s="15" t="s">
        <v>181</v>
      </c>
      <c r="D627" s="18">
        <v>0.9</v>
      </c>
      <c r="E627" s="21">
        <v>0.4</v>
      </c>
      <c r="F627" s="17">
        <f t="shared" si="176"/>
        <v>1.25</v>
      </c>
      <c r="G627" s="17">
        <f t="shared" si="177"/>
        <v>1.8181818181818181E-2</v>
      </c>
      <c r="H627" s="51">
        <f t="shared" si="178"/>
        <v>1.5037593984962405E-2</v>
      </c>
      <c r="J627" s="15">
        <v>10</v>
      </c>
      <c r="K627" s="15" t="s">
        <v>181</v>
      </c>
      <c r="L627" s="18">
        <v>2.8</v>
      </c>
      <c r="M627" s="23">
        <v>1.9</v>
      </c>
      <c r="N627" s="51">
        <v>0.43</v>
      </c>
      <c r="O627" s="51">
        <v>1.4999999999999999E-2</v>
      </c>
      <c r="P627" s="51">
        <v>1.6E-2</v>
      </c>
    </row>
    <row r="628" spans="1:16" ht="14" customHeight="1" x14ac:dyDescent="0.25">
      <c r="A628" s="154"/>
      <c r="B628" s="15" t="s">
        <v>207</v>
      </c>
      <c r="C628" s="15"/>
      <c r="D628" s="18">
        <v>3.7</v>
      </c>
      <c r="E628" s="18">
        <v>2.7</v>
      </c>
      <c r="F628" s="17">
        <f t="shared" si="176"/>
        <v>0.37037037037037024</v>
      </c>
      <c r="G628" s="17">
        <f t="shared" si="177"/>
        <v>7.4747474747474757E-2</v>
      </c>
      <c r="H628" s="51">
        <f t="shared" si="178"/>
        <v>0.10150375939849623</v>
      </c>
      <c r="J628" s="15"/>
      <c r="K628" s="15" t="s">
        <v>105</v>
      </c>
      <c r="L628" s="18">
        <v>10.8</v>
      </c>
      <c r="M628" s="23">
        <v>11.2</v>
      </c>
      <c r="N628" s="51">
        <v>-0.03</v>
      </c>
      <c r="O628" s="51">
        <v>5.8999999999999997E-2</v>
      </c>
      <c r="P628" s="51">
        <v>9.0999999999999998E-2</v>
      </c>
    </row>
    <row r="629" spans="1:16" ht="14" customHeight="1" x14ac:dyDescent="0.25">
      <c r="A629" s="154"/>
      <c r="B629" s="15" t="s">
        <v>130</v>
      </c>
      <c r="C629" s="15"/>
      <c r="D629" s="18">
        <v>49.5</v>
      </c>
      <c r="E629" s="18">
        <v>26.6</v>
      </c>
      <c r="F629" s="17">
        <f t="shared" si="176"/>
        <v>0.86090225563909772</v>
      </c>
      <c r="G629" s="17">
        <f t="shared" si="177"/>
        <v>1</v>
      </c>
      <c r="H629" s="51">
        <f t="shared" si="178"/>
        <v>1</v>
      </c>
      <c r="J629" s="15" t="s">
        <v>130</v>
      </c>
      <c r="K629" s="15"/>
      <c r="L629" s="18">
        <v>182.5</v>
      </c>
      <c r="M629" s="18">
        <f>SUM(M618:M628)</f>
        <v>122.50000000000001</v>
      </c>
      <c r="N629" s="51">
        <f t="shared" ref="N629" si="179">L629/M629-1</f>
        <v>0.48979591836734682</v>
      </c>
      <c r="O629" s="51">
        <v>1</v>
      </c>
      <c r="P629" s="51">
        <v>1</v>
      </c>
    </row>
    <row r="630" spans="1:16" ht="14" customHeight="1" x14ac:dyDescent="0.25">
      <c r="A630" s="154"/>
    </row>
    <row r="631" spans="1:16" ht="14" customHeight="1" x14ac:dyDescent="0.25">
      <c r="A631" s="154"/>
    </row>
    <row r="632" spans="1:16" ht="14" customHeight="1" x14ac:dyDescent="0.25">
      <c r="A632" s="154"/>
    </row>
    <row r="633" spans="1:16" ht="14" customHeight="1" x14ac:dyDescent="0.25">
      <c r="A633" s="154"/>
      <c r="B633" s="11" t="s">
        <v>208</v>
      </c>
      <c r="C633" s="11"/>
      <c r="D633" s="11"/>
      <c r="E633" s="11"/>
      <c r="F633" s="11"/>
      <c r="G633" s="11"/>
      <c r="H633" s="11"/>
      <c r="J633" s="10" t="s">
        <v>209</v>
      </c>
      <c r="K633" s="11"/>
      <c r="L633" s="11"/>
      <c r="M633" s="11"/>
      <c r="N633" s="11"/>
      <c r="O633" s="11"/>
      <c r="P633" s="11"/>
    </row>
    <row r="634" spans="1:16" ht="14" customHeight="1" x14ac:dyDescent="0.25">
      <c r="A634" s="154"/>
      <c r="B634" s="11" t="s">
        <v>96</v>
      </c>
      <c r="C634" s="15" t="s">
        <v>123</v>
      </c>
      <c r="D634" s="19">
        <v>44986</v>
      </c>
      <c r="E634" s="19">
        <v>44621</v>
      </c>
      <c r="F634" s="15" t="s">
        <v>34</v>
      </c>
      <c r="G634" s="15" t="s">
        <v>124</v>
      </c>
      <c r="H634" s="15" t="s">
        <v>176</v>
      </c>
      <c r="J634" s="11" t="s">
        <v>96</v>
      </c>
      <c r="K634" s="15" t="s">
        <v>123</v>
      </c>
      <c r="L634" s="19" t="s">
        <v>166</v>
      </c>
      <c r="M634" s="19" t="s">
        <v>210</v>
      </c>
      <c r="N634" s="21" t="s">
        <v>34</v>
      </c>
      <c r="O634" s="21" t="s">
        <v>179</v>
      </c>
      <c r="P634" s="21" t="s">
        <v>180</v>
      </c>
    </row>
    <row r="635" spans="1:16" ht="14" customHeight="1" x14ac:dyDescent="0.25">
      <c r="A635" s="154"/>
      <c r="B635" s="11">
        <v>1</v>
      </c>
      <c r="C635" s="15" t="s">
        <v>98</v>
      </c>
      <c r="D635" s="18">
        <v>21.1</v>
      </c>
      <c r="E635" s="21">
        <v>15.3</v>
      </c>
      <c r="F635" s="17">
        <f>D635/E635-1</f>
        <v>0.37908496732026142</v>
      </c>
      <c r="G635" s="17">
        <f>D635/$D$646</f>
        <v>0.36505190311418689</v>
      </c>
      <c r="H635" s="51">
        <f>E635/$E$646</f>
        <v>0.36602870813397131</v>
      </c>
      <c r="J635" s="11">
        <v>1</v>
      </c>
      <c r="K635" s="15" t="s">
        <v>98</v>
      </c>
      <c r="L635" s="18">
        <v>46.6</v>
      </c>
      <c r="M635" s="23">
        <v>34.299999999999997</v>
      </c>
      <c r="N635" s="51">
        <v>0.35899999999999999</v>
      </c>
      <c r="O635" s="51">
        <v>0.35</v>
      </c>
      <c r="P635" s="51">
        <v>0.35799999999999998</v>
      </c>
    </row>
    <row r="636" spans="1:16" ht="14" customHeight="1" x14ac:dyDescent="0.25">
      <c r="A636" s="154"/>
      <c r="B636" s="11">
        <v>2</v>
      </c>
      <c r="C636" s="15" t="s">
        <v>172</v>
      </c>
      <c r="D636" s="18">
        <v>9.3000000000000007</v>
      </c>
      <c r="E636" s="21">
        <v>7.4</v>
      </c>
      <c r="F636" s="17">
        <f t="shared" ref="F636:F646" si="180">D636/E636-1</f>
        <v>0.2567567567567568</v>
      </c>
      <c r="G636" s="17">
        <f t="shared" ref="G636:G646" si="181">D636/$D$646</f>
        <v>0.16089965397923878</v>
      </c>
      <c r="H636" s="51">
        <f t="shared" ref="H636:H646" si="182">E636/$E$646</f>
        <v>0.17703349282296652</v>
      </c>
      <c r="J636" s="11">
        <v>2</v>
      </c>
      <c r="K636" s="15" t="s">
        <v>99</v>
      </c>
      <c r="L636" s="18">
        <v>21.5</v>
      </c>
      <c r="M636" s="23">
        <v>10</v>
      </c>
      <c r="N636" s="51">
        <v>1.155</v>
      </c>
      <c r="O636" s="51">
        <v>0.16200000000000001</v>
      </c>
      <c r="P636" s="51">
        <v>0.104</v>
      </c>
    </row>
    <row r="637" spans="1:16" ht="14" customHeight="1" x14ac:dyDescent="0.25">
      <c r="A637" s="154"/>
      <c r="B637" s="11">
        <v>3</v>
      </c>
      <c r="C637" s="15" t="s">
        <v>99</v>
      </c>
      <c r="D637" s="18">
        <v>7.8</v>
      </c>
      <c r="E637" s="21">
        <v>3.9</v>
      </c>
      <c r="F637" s="17">
        <f t="shared" si="180"/>
        <v>1</v>
      </c>
      <c r="G637" s="17">
        <f t="shared" si="181"/>
        <v>0.13494809688581316</v>
      </c>
      <c r="H637" s="51">
        <f t="shared" si="182"/>
        <v>9.3301435406698566E-2</v>
      </c>
      <c r="J637" s="11">
        <v>3</v>
      </c>
      <c r="K637" s="15" t="s">
        <v>172</v>
      </c>
      <c r="L637" s="22">
        <v>19.3</v>
      </c>
      <c r="M637" s="23">
        <v>14</v>
      </c>
      <c r="N637" s="51">
        <v>0.375</v>
      </c>
      <c r="O637" s="51">
        <v>0.14499999999999999</v>
      </c>
      <c r="P637" s="51">
        <v>0.14599999999999999</v>
      </c>
    </row>
    <row r="638" spans="1:16" ht="14" customHeight="1" x14ac:dyDescent="0.25">
      <c r="A638" s="154"/>
      <c r="B638" s="11">
        <v>4</v>
      </c>
      <c r="C638" s="15" t="s">
        <v>102</v>
      </c>
      <c r="D638" s="18">
        <v>4.0999999999999996</v>
      </c>
      <c r="E638" s="21">
        <v>3.4</v>
      </c>
      <c r="F638" s="17">
        <f t="shared" si="180"/>
        <v>0.20588235294117641</v>
      </c>
      <c r="G638" s="17">
        <f t="shared" si="181"/>
        <v>7.0934256055363312E-2</v>
      </c>
      <c r="H638" s="51">
        <f t="shared" si="182"/>
        <v>8.1339712918660295E-2</v>
      </c>
      <c r="J638" s="11">
        <v>4</v>
      </c>
      <c r="K638" s="15" t="s">
        <v>102</v>
      </c>
      <c r="L638" s="18">
        <v>11.9</v>
      </c>
      <c r="M638" s="23">
        <v>8.6999999999999993</v>
      </c>
      <c r="N638" s="51">
        <v>0.377</v>
      </c>
      <c r="O638" s="51">
        <v>0.09</v>
      </c>
      <c r="P638" s="51">
        <v>0.09</v>
      </c>
    </row>
    <row r="639" spans="1:16" ht="14" customHeight="1" x14ac:dyDescent="0.25">
      <c r="A639" s="154"/>
      <c r="B639" s="11">
        <v>5</v>
      </c>
      <c r="C639" s="15" t="s">
        <v>100</v>
      </c>
      <c r="D639" s="18">
        <v>3.2</v>
      </c>
      <c r="E639" s="21">
        <v>1.7</v>
      </c>
      <c r="F639" s="17">
        <f t="shared" si="180"/>
        <v>0.88235294117647078</v>
      </c>
      <c r="G639" s="17">
        <f t="shared" si="181"/>
        <v>5.5363321799307967E-2</v>
      </c>
      <c r="H639" s="51">
        <f t="shared" si="182"/>
        <v>4.0669856459330148E-2</v>
      </c>
      <c r="J639" s="11">
        <v>5</v>
      </c>
      <c r="K639" s="11" t="s">
        <v>25</v>
      </c>
      <c r="L639" s="18">
        <v>7.1</v>
      </c>
      <c r="M639" s="23">
        <v>6.7</v>
      </c>
      <c r="N639" s="51">
        <v>5.0999999999999997E-2</v>
      </c>
      <c r="O639" s="51">
        <v>5.2999999999999999E-2</v>
      </c>
      <c r="P639" s="51">
        <v>7.0000000000000007E-2</v>
      </c>
    </row>
    <row r="640" spans="1:16" ht="14" customHeight="1" x14ac:dyDescent="0.25">
      <c r="A640" s="154"/>
      <c r="B640" s="11">
        <v>6</v>
      </c>
      <c r="C640" s="15" t="s">
        <v>25</v>
      </c>
      <c r="D640" s="18">
        <v>3</v>
      </c>
      <c r="E640" s="21">
        <v>2.7</v>
      </c>
      <c r="F640" s="17">
        <f t="shared" si="180"/>
        <v>0.11111111111111094</v>
      </c>
      <c r="G640" s="17">
        <f t="shared" si="181"/>
        <v>5.1903114186851215E-2</v>
      </c>
      <c r="H640" s="51">
        <f t="shared" si="182"/>
        <v>6.4593301435406703E-2</v>
      </c>
      <c r="J640" s="11">
        <v>6</v>
      </c>
      <c r="K640" s="15" t="s">
        <v>173</v>
      </c>
      <c r="L640" s="18">
        <v>6.5</v>
      </c>
      <c r="M640" s="23">
        <v>4.3</v>
      </c>
      <c r="N640" s="51">
        <v>0.52900000000000003</v>
      </c>
      <c r="O640" s="51">
        <v>4.9000000000000002E-2</v>
      </c>
      <c r="P640" s="51">
        <v>4.3999999999999997E-2</v>
      </c>
    </row>
    <row r="641" spans="1:16" ht="14" customHeight="1" x14ac:dyDescent="0.25">
      <c r="A641" s="154"/>
      <c r="B641" s="11">
        <v>7</v>
      </c>
      <c r="C641" s="15" t="s">
        <v>173</v>
      </c>
      <c r="D641" s="18">
        <v>2.8</v>
      </c>
      <c r="E641" s="21">
        <v>2</v>
      </c>
      <c r="F641" s="17">
        <f t="shared" si="180"/>
        <v>0.39999999999999991</v>
      </c>
      <c r="G641" s="17">
        <f t="shared" si="181"/>
        <v>4.8442906574394463E-2</v>
      </c>
      <c r="H641" s="51">
        <f t="shared" si="182"/>
        <v>4.784688995215311E-2</v>
      </c>
      <c r="J641" s="11">
        <v>7</v>
      </c>
      <c r="K641" s="15" t="s">
        <v>100</v>
      </c>
      <c r="L641" s="18">
        <v>5.7</v>
      </c>
      <c r="M641" s="23">
        <v>4.0999999999999996</v>
      </c>
      <c r="N641" s="51">
        <v>0.39800000000000002</v>
      </c>
      <c r="O641" s="51">
        <v>4.2999999999999997E-2</v>
      </c>
      <c r="P641" s="51">
        <v>4.2999999999999997E-2</v>
      </c>
    </row>
    <row r="642" spans="1:16" ht="14" customHeight="1" x14ac:dyDescent="0.25">
      <c r="A642" s="154"/>
      <c r="B642" s="11">
        <v>8</v>
      </c>
      <c r="C642" s="15" t="s">
        <v>101</v>
      </c>
      <c r="D642" s="18">
        <v>1.4</v>
      </c>
      <c r="E642" s="21">
        <v>0.9</v>
      </c>
      <c r="F642" s="17">
        <f t="shared" si="180"/>
        <v>0.55555555555555536</v>
      </c>
      <c r="G642" s="17">
        <f t="shared" si="181"/>
        <v>2.4221453287197232E-2</v>
      </c>
      <c r="H642" s="51">
        <f t="shared" si="182"/>
        <v>2.1531100478468901E-2</v>
      </c>
      <c r="J642" s="11">
        <v>8</v>
      </c>
      <c r="K642" s="15" t="s">
        <v>101</v>
      </c>
      <c r="L642" s="18">
        <v>2.9</v>
      </c>
      <c r="M642" s="23">
        <v>2.6</v>
      </c>
      <c r="N642" s="51">
        <v>0.13700000000000001</v>
      </c>
      <c r="O642" s="51">
        <v>2.1999999999999999E-2</v>
      </c>
      <c r="P642" s="51">
        <v>2.7E-2</v>
      </c>
    </row>
    <row r="643" spans="1:16" ht="14" customHeight="1" x14ac:dyDescent="0.25">
      <c r="A643" s="154"/>
      <c r="B643" s="11">
        <v>9</v>
      </c>
      <c r="C643" s="15" t="s">
        <v>103</v>
      </c>
      <c r="D643" s="18">
        <v>1</v>
      </c>
      <c r="E643" s="21">
        <v>0.6</v>
      </c>
      <c r="F643" s="17">
        <f t="shared" si="180"/>
        <v>0.66666666666666674</v>
      </c>
      <c r="G643" s="17">
        <f t="shared" si="181"/>
        <v>1.7301038062283738E-2</v>
      </c>
      <c r="H643" s="51">
        <f t="shared" si="182"/>
        <v>1.4354066985645933E-2</v>
      </c>
      <c r="J643" s="11">
        <v>9</v>
      </c>
      <c r="K643" s="15" t="s">
        <v>103</v>
      </c>
      <c r="L643" s="18">
        <v>2.4</v>
      </c>
      <c r="M643" s="23">
        <v>1.4</v>
      </c>
      <c r="N643" s="51">
        <v>0.755</v>
      </c>
      <c r="O643" s="51">
        <v>1.7999999999999999E-2</v>
      </c>
      <c r="P643" s="51">
        <v>1.4E-2</v>
      </c>
    </row>
    <row r="644" spans="1:16" ht="14" customHeight="1" x14ac:dyDescent="0.25">
      <c r="A644" s="154"/>
      <c r="B644" s="15">
        <v>10</v>
      </c>
      <c r="C644" s="15" t="s">
        <v>181</v>
      </c>
      <c r="D644" s="18">
        <v>0.8</v>
      </c>
      <c r="E644" s="21">
        <v>0.6</v>
      </c>
      <c r="F644" s="17">
        <f t="shared" si="180"/>
        <v>0.33333333333333348</v>
      </c>
      <c r="G644" s="17">
        <f t="shared" si="181"/>
        <v>1.3840830449826992E-2</v>
      </c>
      <c r="H644" s="51">
        <f t="shared" si="182"/>
        <v>1.4354066985645933E-2</v>
      </c>
      <c r="J644" s="15">
        <v>10</v>
      </c>
      <c r="K644" s="15" t="s">
        <v>181</v>
      </c>
      <c r="L644" s="18">
        <v>1.9</v>
      </c>
      <c r="M644" s="23">
        <v>1.5</v>
      </c>
      <c r="N644" s="51">
        <v>0.28499999999999998</v>
      </c>
      <c r="O644" s="51">
        <v>1.4E-2</v>
      </c>
      <c r="P644" s="51">
        <v>1.6E-2</v>
      </c>
    </row>
    <row r="645" spans="1:16" ht="14" customHeight="1" x14ac:dyDescent="0.25">
      <c r="A645" s="154"/>
      <c r="B645" s="15" t="s">
        <v>207</v>
      </c>
      <c r="C645" s="15"/>
      <c r="D645" s="18">
        <v>3.2</v>
      </c>
      <c r="E645" s="18">
        <v>3.5</v>
      </c>
      <c r="F645" s="17">
        <f t="shared" si="180"/>
        <v>-8.5714285714285632E-2</v>
      </c>
      <c r="G645" s="17">
        <f t="shared" si="181"/>
        <v>5.5363321799307967E-2</v>
      </c>
      <c r="H645" s="51">
        <f t="shared" si="182"/>
        <v>8.3732057416267949E-2</v>
      </c>
      <c r="J645" s="15"/>
      <c r="K645" s="15" t="s">
        <v>105</v>
      </c>
      <c r="L645" s="18">
        <v>7.1</v>
      </c>
      <c r="M645" s="23">
        <v>8.5</v>
      </c>
      <c r="N645" s="51">
        <v>-0.16</v>
      </c>
      <c r="O645" s="51">
        <v>5.2999999999999999E-2</v>
      </c>
      <c r="P645" s="51">
        <v>8.7999999999999995E-2</v>
      </c>
    </row>
    <row r="646" spans="1:16" ht="14" customHeight="1" x14ac:dyDescent="0.25">
      <c r="A646" s="154"/>
      <c r="B646" s="15" t="s">
        <v>130</v>
      </c>
      <c r="C646" s="15"/>
      <c r="D646" s="18">
        <v>57.8</v>
      </c>
      <c r="E646" s="18">
        <v>41.8</v>
      </c>
      <c r="F646" s="17">
        <f t="shared" si="180"/>
        <v>0.38277511961722488</v>
      </c>
      <c r="G646" s="17">
        <f t="shared" si="181"/>
        <v>1</v>
      </c>
      <c r="H646" s="51">
        <f t="shared" si="182"/>
        <v>1</v>
      </c>
      <c r="J646" s="15" t="s">
        <v>130</v>
      </c>
      <c r="K646" s="15"/>
      <c r="L646" s="15">
        <v>133</v>
      </c>
      <c r="M646" s="15">
        <v>95.9</v>
      </c>
      <c r="N646" s="17">
        <v>0.38600000000000001</v>
      </c>
      <c r="O646" s="51">
        <v>1</v>
      </c>
      <c r="P646" s="51">
        <v>1</v>
      </c>
    </row>
    <row r="647" spans="1:16" ht="14" customHeight="1" x14ac:dyDescent="0.25">
      <c r="A647" s="154"/>
      <c r="G647" s="219"/>
      <c r="H647" s="219"/>
    </row>
    <row r="648" spans="1:16" ht="14" customHeight="1" x14ac:dyDescent="0.25">
      <c r="A648" s="154"/>
    </row>
    <row r="649" spans="1:16" ht="14" customHeight="1" x14ac:dyDescent="0.25">
      <c r="A649" s="154"/>
    </row>
    <row r="650" spans="1:16" ht="14" customHeight="1" x14ac:dyDescent="0.25">
      <c r="A650" s="154"/>
      <c r="B650" s="11" t="s">
        <v>211</v>
      </c>
      <c r="C650" s="11"/>
      <c r="D650" s="11"/>
      <c r="E650" s="11"/>
      <c r="F650" s="11"/>
      <c r="G650" s="11"/>
      <c r="H650" s="11"/>
      <c r="J650" s="10" t="s">
        <v>212</v>
      </c>
      <c r="K650" s="11"/>
      <c r="L650" s="11"/>
      <c r="M650" s="11"/>
      <c r="N650" s="11"/>
      <c r="O650" s="11"/>
      <c r="P650" s="11"/>
    </row>
    <row r="651" spans="1:16" ht="14" customHeight="1" x14ac:dyDescent="0.25">
      <c r="A651" s="154"/>
      <c r="B651" s="11" t="s">
        <v>96</v>
      </c>
      <c r="C651" s="15" t="s">
        <v>123</v>
      </c>
      <c r="D651" s="19">
        <v>44958</v>
      </c>
      <c r="E651" s="19">
        <v>44593</v>
      </c>
      <c r="F651" s="15" t="s">
        <v>34</v>
      </c>
      <c r="G651" s="15" t="s">
        <v>124</v>
      </c>
      <c r="H651" s="15" t="s">
        <v>176</v>
      </c>
      <c r="J651" s="11" t="s">
        <v>96</v>
      </c>
      <c r="K651" s="15" t="s">
        <v>123</v>
      </c>
      <c r="L651" s="19" t="s">
        <v>170</v>
      </c>
      <c r="M651" s="19" t="s">
        <v>213</v>
      </c>
      <c r="N651" s="21" t="s">
        <v>34</v>
      </c>
      <c r="O651" s="21" t="s">
        <v>179</v>
      </c>
      <c r="P651" s="21" t="s">
        <v>180</v>
      </c>
    </row>
    <row r="652" spans="1:16" ht="14" customHeight="1" x14ac:dyDescent="0.25">
      <c r="A652" s="154"/>
      <c r="B652" s="11">
        <v>1</v>
      </c>
      <c r="C652" s="15" t="s">
        <v>98</v>
      </c>
      <c r="D652" s="18">
        <v>14.3</v>
      </c>
      <c r="E652" s="18">
        <v>8.5</v>
      </c>
      <c r="F652" s="17">
        <f>D652/E652-1</f>
        <v>0.68235294117647061</v>
      </c>
      <c r="G652" s="17">
        <f>D652/42.2</f>
        <v>0.33886255924170616</v>
      </c>
      <c r="H652" s="17">
        <f>E652/26.2</f>
        <v>0.32442748091603052</v>
      </c>
      <c r="J652" s="11">
        <v>1</v>
      </c>
      <c r="K652" s="15" t="s">
        <v>98</v>
      </c>
      <c r="L652" s="18">
        <v>25.5</v>
      </c>
      <c r="M652" s="23">
        <v>19</v>
      </c>
      <c r="N652" s="51">
        <v>0.34</v>
      </c>
      <c r="O652" s="51">
        <v>0.33900000000000002</v>
      </c>
      <c r="P652" s="51">
        <v>0.35099999999999998</v>
      </c>
    </row>
    <row r="653" spans="1:16" ht="14" customHeight="1" x14ac:dyDescent="0.25">
      <c r="A653" s="154"/>
      <c r="B653" s="11">
        <v>2</v>
      </c>
      <c r="C653" s="15" t="s">
        <v>99</v>
      </c>
      <c r="D653" s="18">
        <v>7.9</v>
      </c>
      <c r="E653" s="18">
        <v>2.8</v>
      </c>
      <c r="F653" s="17">
        <f t="shared" ref="F653:F663" si="183">D653/E653-1</f>
        <v>1.8214285714285716</v>
      </c>
      <c r="G653" s="17">
        <f t="shared" ref="G653:G663" si="184">D653/42.2</f>
        <v>0.1872037914691943</v>
      </c>
      <c r="H653" s="17">
        <f t="shared" ref="H653:H663" si="185">E653/26.2</f>
        <v>0.10687022900763359</v>
      </c>
      <c r="J653" s="11">
        <v>2</v>
      </c>
      <c r="K653" s="15" t="s">
        <v>99</v>
      </c>
      <c r="L653" s="18">
        <v>13.7</v>
      </c>
      <c r="M653" s="23">
        <v>6.1</v>
      </c>
      <c r="N653" s="51">
        <v>1.226</v>
      </c>
      <c r="O653" s="51">
        <v>0.182</v>
      </c>
      <c r="P653" s="51">
        <v>0.113</v>
      </c>
    </row>
    <row r="654" spans="1:16" ht="14" customHeight="1" x14ac:dyDescent="0.25">
      <c r="A654" s="154"/>
      <c r="B654" s="11">
        <v>3</v>
      </c>
      <c r="C654" s="15" t="s">
        <v>172</v>
      </c>
      <c r="D654" s="18">
        <v>5.7</v>
      </c>
      <c r="E654" s="18">
        <v>3.8</v>
      </c>
      <c r="F654" s="17">
        <f t="shared" si="183"/>
        <v>0.50000000000000022</v>
      </c>
      <c r="G654" s="17">
        <f t="shared" si="184"/>
        <v>0.13507109004739337</v>
      </c>
      <c r="H654" s="17">
        <f t="shared" si="185"/>
        <v>0.14503816793893129</v>
      </c>
      <c r="J654" s="11">
        <v>3</v>
      </c>
      <c r="K654" s="15" t="s">
        <v>172</v>
      </c>
      <c r="L654" s="22">
        <v>10</v>
      </c>
      <c r="M654" s="23">
        <v>6.6</v>
      </c>
      <c r="N654" s="51">
        <v>0.51900000000000002</v>
      </c>
      <c r="O654" s="51">
        <v>0.13300000000000001</v>
      </c>
      <c r="P654" s="51">
        <v>0.122</v>
      </c>
    </row>
    <row r="655" spans="1:16" ht="14" customHeight="1" x14ac:dyDescent="0.25">
      <c r="A655" s="154"/>
      <c r="B655" s="11">
        <v>4</v>
      </c>
      <c r="C655" s="15" t="s">
        <v>102</v>
      </c>
      <c r="D655" s="18">
        <v>4.0999999999999996</v>
      </c>
      <c r="E655" s="18">
        <v>2.8</v>
      </c>
      <c r="F655" s="17">
        <f t="shared" si="183"/>
        <v>0.46428571428571419</v>
      </c>
      <c r="G655" s="17">
        <f t="shared" si="184"/>
        <v>9.7156398104265393E-2</v>
      </c>
      <c r="H655" s="17">
        <f t="shared" si="185"/>
        <v>0.10687022900763359</v>
      </c>
      <c r="J655" s="11">
        <v>4</v>
      </c>
      <c r="K655" s="15" t="s">
        <v>102</v>
      </c>
      <c r="L655" s="18">
        <v>7.8</v>
      </c>
      <c r="M655" s="23">
        <v>5.3</v>
      </c>
      <c r="N655" s="51">
        <v>0.47599999999999998</v>
      </c>
      <c r="O655" s="51">
        <v>0.104</v>
      </c>
      <c r="P655" s="51">
        <v>9.8000000000000004E-2</v>
      </c>
    </row>
    <row r="656" spans="1:16" ht="14" customHeight="1" x14ac:dyDescent="0.25">
      <c r="A656" s="154"/>
      <c r="B656" s="11">
        <v>5</v>
      </c>
      <c r="C656" s="15" t="s">
        <v>173</v>
      </c>
      <c r="D656" s="18">
        <v>1.9</v>
      </c>
      <c r="E656" s="18">
        <v>1.1000000000000001</v>
      </c>
      <c r="F656" s="17">
        <f t="shared" si="183"/>
        <v>0.72727272727272707</v>
      </c>
      <c r="G656" s="17">
        <f t="shared" si="184"/>
        <v>4.5023696682464448E-2</v>
      </c>
      <c r="H656" s="17">
        <f t="shared" si="185"/>
        <v>4.1984732824427488E-2</v>
      </c>
      <c r="J656" s="11">
        <v>5</v>
      </c>
      <c r="K656" s="11" t="s">
        <v>25</v>
      </c>
      <c r="L656" s="18">
        <v>4.0999999999999996</v>
      </c>
      <c r="M656" s="23">
        <v>4</v>
      </c>
      <c r="N656" s="51">
        <v>3.7999999999999999E-2</v>
      </c>
      <c r="O656" s="51">
        <v>5.5E-2</v>
      </c>
      <c r="P656" s="51">
        <v>7.3999999999999996E-2</v>
      </c>
    </row>
    <row r="657" spans="1:16" ht="14" customHeight="1" x14ac:dyDescent="0.25">
      <c r="A657" s="154"/>
      <c r="B657" s="11">
        <v>6</v>
      </c>
      <c r="C657" s="15" t="s">
        <v>25</v>
      </c>
      <c r="D657" s="18">
        <v>2.6</v>
      </c>
      <c r="E657" s="18">
        <v>2.4</v>
      </c>
      <c r="F657" s="17">
        <f t="shared" si="183"/>
        <v>8.3333333333333481E-2</v>
      </c>
      <c r="G657" s="17">
        <f t="shared" si="184"/>
        <v>6.1611374407582936E-2</v>
      </c>
      <c r="H657" s="17">
        <f t="shared" si="185"/>
        <v>9.1603053435114504E-2</v>
      </c>
      <c r="J657" s="11">
        <v>6</v>
      </c>
      <c r="K657" s="15" t="s">
        <v>173</v>
      </c>
      <c r="L657" s="18">
        <v>3.7</v>
      </c>
      <c r="M657" s="23">
        <v>2.2999999999999998</v>
      </c>
      <c r="N657" s="51">
        <v>0.57199999999999995</v>
      </c>
      <c r="O657" s="51">
        <v>4.9000000000000002E-2</v>
      </c>
      <c r="P657" s="51">
        <v>4.2999999999999997E-2</v>
      </c>
    </row>
    <row r="658" spans="1:16" ht="14" customHeight="1" x14ac:dyDescent="0.25">
      <c r="A658" s="154"/>
      <c r="B658" s="11">
        <v>7</v>
      </c>
      <c r="C658" s="15" t="s">
        <v>100</v>
      </c>
      <c r="D658" s="18">
        <v>1.7</v>
      </c>
      <c r="E658" s="18">
        <v>0.9</v>
      </c>
      <c r="F658" s="17">
        <f t="shared" si="183"/>
        <v>0.88888888888888884</v>
      </c>
      <c r="G658" s="17">
        <f t="shared" si="184"/>
        <v>4.0284360189573459E-2</v>
      </c>
      <c r="H658" s="17">
        <f t="shared" si="185"/>
        <v>3.4351145038167941E-2</v>
      </c>
      <c r="J658" s="11">
        <v>7</v>
      </c>
      <c r="K658" s="15" t="s">
        <v>100</v>
      </c>
      <c r="L658" s="18">
        <v>2.5</v>
      </c>
      <c r="M658" s="23">
        <v>2.4</v>
      </c>
      <c r="N658" s="51">
        <v>0.05</v>
      </c>
      <c r="O658" s="51">
        <v>3.4000000000000002E-2</v>
      </c>
      <c r="P658" s="51">
        <v>4.4999999999999998E-2</v>
      </c>
    </row>
    <row r="659" spans="1:16" ht="14" customHeight="1" x14ac:dyDescent="0.25">
      <c r="A659" s="154"/>
      <c r="B659" s="11">
        <v>8</v>
      </c>
      <c r="C659" s="15" t="s">
        <v>101</v>
      </c>
      <c r="D659" s="18">
        <v>0.8</v>
      </c>
      <c r="E659" s="18">
        <v>0.8</v>
      </c>
      <c r="F659" s="17">
        <f t="shared" si="183"/>
        <v>0</v>
      </c>
      <c r="G659" s="17">
        <f t="shared" si="184"/>
        <v>1.8957345971563982E-2</v>
      </c>
      <c r="H659" s="17">
        <f t="shared" si="185"/>
        <v>3.053435114503817E-2</v>
      </c>
      <c r="J659" s="11">
        <v>8</v>
      </c>
      <c r="K659" s="15" t="s">
        <v>101</v>
      </c>
      <c r="L659" s="18">
        <v>1.5</v>
      </c>
      <c r="M659" s="23">
        <v>1.7</v>
      </c>
      <c r="N659" s="51">
        <v>-8.2000000000000003E-2</v>
      </c>
      <c r="O659" s="51">
        <v>0.02</v>
      </c>
      <c r="P659" s="51">
        <v>3.1E-2</v>
      </c>
    </row>
    <row r="660" spans="1:16" ht="14" customHeight="1" x14ac:dyDescent="0.25">
      <c r="A660" s="154"/>
      <c r="B660" s="11">
        <v>9</v>
      </c>
      <c r="C660" s="15" t="s">
        <v>103</v>
      </c>
      <c r="D660" s="18">
        <v>0.8</v>
      </c>
      <c r="E660" s="18">
        <v>0.3</v>
      </c>
      <c r="F660" s="17">
        <f t="shared" si="183"/>
        <v>1.666666666666667</v>
      </c>
      <c r="G660" s="17">
        <f t="shared" si="184"/>
        <v>1.8957345971563982E-2</v>
      </c>
      <c r="H660" s="17">
        <f t="shared" si="185"/>
        <v>1.1450381679389313E-2</v>
      </c>
      <c r="J660" s="11">
        <v>9</v>
      </c>
      <c r="K660" s="15" t="s">
        <v>103</v>
      </c>
      <c r="L660" s="18">
        <v>1.4</v>
      </c>
      <c r="M660" s="23">
        <v>0.8</v>
      </c>
      <c r="N660" s="51">
        <v>0.73899999999999999</v>
      </c>
      <c r="O660" s="51">
        <v>1.7999999999999999E-2</v>
      </c>
      <c r="P660" s="51">
        <v>1.4E-2</v>
      </c>
    </row>
    <row r="661" spans="1:16" ht="14" customHeight="1" x14ac:dyDescent="0.25">
      <c r="A661" s="154"/>
      <c r="B661" s="15">
        <v>10</v>
      </c>
      <c r="C661" s="15" t="s">
        <v>181</v>
      </c>
      <c r="D661" s="18">
        <v>0.6</v>
      </c>
      <c r="E661" s="18">
        <v>0.4</v>
      </c>
      <c r="F661" s="17">
        <f t="shared" si="183"/>
        <v>0.49999999999999978</v>
      </c>
      <c r="G661" s="17">
        <f t="shared" si="184"/>
        <v>1.4218009478672985E-2</v>
      </c>
      <c r="H661" s="17">
        <f t="shared" si="185"/>
        <v>1.5267175572519085E-2</v>
      </c>
      <c r="J661" s="15">
        <v>10</v>
      </c>
      <c r="K661" s="15" t="s">
        <v>181</v>
      </c>
      <c r="L661" s="18">
        <v>1.1000000000000001</v>
      </c>
      <c r="M661" s="23">
        <v>0.9</v>
      </c>
      <c r="N661" s="51">
        <v>0.17499999999999999</v>
      </c>
      <c r="O661" s="51">
        <v>1.4E-2</v>
      </c>
      <c r="P661" s="51">
        <v>1.7000000000000001E-2</v>
      </c>
    </row>
    <row r="662" spans="1:16" ht="14" customHeight="1" x14ac:dyDescent="0.25">
      <c r="A662" s="154"/>
      <c r="B662" s="15" t="s">
        <v>207</v>
      </c>
      <c r="C662" s="15"/>
      <c r="D662" s="18">
        <v>1.9</v>
      </c>
      <c r="E662" s="18">
        <v>2.2999999999999998</v>
      </c>
      <c r="F662" s="17">
        <f t="shared" si="183"/>
        <v>-0.17391304347826086</v>
      </c>
      <c r="G662" s="17">
        <f t="shared" si="184"/>
        <v>4.5023696682464448E-2</v>
      </c>
      <c r="H662" s="17">
        <f t="shared" si="185"/>
        <v>8.7786259541984726E-2</v>
      </c>
      <c r="J662" s="15"/>
      <c r="K662" s="15" t="s">
        <v>105</v>
      </c>
      <c r="L662" s="18">
        <v>3.9</v>
      </c>
      <c r="M662" s="23">
        <v>5</v>
      </c>
      <c r="N662" s="51">
        <v>-0.20799999999999999</v>
      </c>
      <c r="O662" s="51">
        <v>5.1999999999999998E-2</v>
      </c>
      <c r="P662" s="51">
        <v>9.1999999999999998E-2</v>
      </c>
    </row>
    <row r="663" spans="1:16" ht="14" customHeight="1" x14ac:dyDescent="0.25">
      <c r="A663" s="154"/>
      <c r="B663" s="15" t="s">
        <v>130</v>
      </c>
      <c r="C663" s="15"/>
      <c r="D663" s="18">
        <v>42.2</v>
      </c>
      <c r="E663" s="18">
        <v>26.2</v>
      </c>
      <c r="F663" s="17">
        <f t="shared" si="183"/>
        <v>0.61068702290076349</v>
      </c>
      <c r="G663" s="17">
        <f t="shared" si="184"/>
        <v>1</v>
      </c>
      <c r="H663" s="17">
        <f t="shared" si="185"/>
        <v>1</v>
      </c>
      <c r="J663" s="15" t="s">
        <v>130</v>
      </c>
      <c r="K663" s="15"/>
      <c r="L663" s="15">
        <v>75.2</v>
      </c>
      <c r="M663" s="15">
        <v>54.1</v>
      </c>
      <c r="N663" s="17">
        <f>L663/M663-1</f>
        <v>0.39001848428835495</v>
      </c>
      <c r="O663" s="51">
        <v>1</v>
      </c>
      <c r="P663" s="51">
        <v>1</v>
      </c>
    </row>
    <row r="664" spans="1:16" ht="14" customHeight="1" x14ac:dyDescent="0.25">
      <c r="A664" s="154"/>
      <c r="G664" s="219"/>
      <c r="H664" s="219"/>
    </row>
    <row r="665" spans="1:16" ht="14" customHeight="1" x14ac:dyDescent="0.25">
      <c r="A665" s="154"/>
    </row>
    <row r="666" spans="1:16" ht="14" customHeight="1" x14ac:dyDescent="0.25">
      <c r="A666" s="154"/>
    </row>
    <row r="667" spans="1:16" ht="14" customHeight="1" x14ac:dyDescent="0.25">
      <c r="B667" s="11" t="s">
        <v>214</v>
      </c>
      <c r="C667" s="11"/>
      <c r="D667" s="11"/>
      <c r="E667" s="11"/>
      <c r="F667" s="11"/>
      <c r="G667" s="11"/>
      <c r="H667" s="11"/>
      <c r="I667" s="15"/>
    </row>
    <row r="668" spans="1:16" ht="14" customHeight="1" x14ac:dyDescent="0.25">
      <c r="A668" s="154"/>
      <c r="B668" s="11" t="s">
        <v>96</v>
      </c>
      <c r="C668" s="15" t="s">
        <v>123</v>
      </c>
      <c r="D668" s="19">
        <v>44927</v>
      </c>
      <c r="E668" s="19">
        <v>44562</v>
      </c>
      <c r="F668" s="15" t="s">
        <v>34</v>
      </c>
      <c r="G668" s="15" t="s">
        <v>124</v>
      </c>
      <c r="H668" s="15" t="s">
        <v>176</v>
      </c>
      <c r="I668" s="15"/>
    </row>
    <row r="669" spans="1:16" ht="14" customHeight="1" x14ac:dyDescent="0.25">
      <c r="A669" s="154"/>
      <c r="B669" s="11">
        <v>1</v>
      </c>
      <c r="C669" s="15" t="s">
        <v>98</v>
      </c>
      <c r="D669" s="18">
        <v>11.2</v>
      </c>
      <c r="E669" s="18">
        <v>10.5</v>
      </c>
      <c r="F669" s="17">
        <v>6.5000000000000002E-2</v>
      </c>
      <c r="G669" s="17">
        <v>0.33900000000000002</v>
      </c>
      <c r="H669" s="17">
        <v>0.376</v>
      </c>
      <c r="I669" s="15"/>
    </row>
    <row r="670" spans="1:16" ht="14" customHeight="1" x14ac:dyDescent="0.25">
      <c r="A670" s="154"/>
      <c r="B670" s="11">
        <v>2</v>
      </c>
      <c r="C670" s="15" t="s">
        <v>99</v>
      </c>
      <c r="D670" s="18">
        <v>5.8</v>
      </c>
      <c r="E670" s="18">
        <v>3.3</v>
      </c>
      <c r="F670" s="17">
        <v>0.78800000000000003</v>
      </c>
      <c r="G670" s="17">
        <v>0.17599999999999999</v>
      </c>
      <c r="H670" s="17">
        <v>0.11600000000000001</v>
      </c>
      <c r="I670" s="15"/>
    </row>
    <row r="671" spans="1:16" ht="14" customHeight="1" x14ac:dyDescent="0.25">
      <c r="A671" s="154"/>
      <c r="B671" s="11">
        <v>3</v>
      </c>
      <c r="C671" s="15" t="s">
        <v>172</v>
      </c>
      <c r="D671" s="18">
        <v>4.3</v>
      </c>
      <c r="E671" s="18">
        <v>2.8</v>
      </c>
      <c r="F671" s="17">
        <v>0.51300000000000001</v>
      </c>
      <c r="G671" s="17">
        <v>0.13</v>
      </c>
      <c r="H671" s="17">
        <v>0.10100000000000001</v>
      </c>
      <c r="I671" s="15"/>
    </row>
    <row r="672" spans="1:16" ht="14" customHeight="1" x14ac:dyDescent="0.25">
      <c r="A672" s="154"/>
      <c r="B672" s="11">
        <v>4</v>
      </c>
      <c r="C672" s="15" t="s">
        <v>102</v>
      </c>
      <c r="D672" s="18">
        <v>3.7</v>
      </c>
      <c r="E672" s="18">
        <v>2.5</v>
      </c>
      <c r="F672" s="17">
        <v>0.45300000000000001</v>
      </c>
      <c r="G672" s="17">
        <v>0.112</v>
      </c>
      <c r="H672" s="17">
        <v>9.0999999999999998E-2</v>
      </c>
      <c r="I672" s="15"/>
    </row>
    <row r="673" spans="1:16" ht="14" customHeight="1" x14ac:dyDescent="0.25">
      <c r="A673" s="154"/>
      <c r="B673" s="11">
        <v>5</v>
      </c>
      <c r="C673" s="15" t="s">
        <v>173</v>
      </c>
      <c r="D673" s="18">
        <v>1.8</v>
      </c>
      <c r="E673" s="18">
        <v>1.2</v>
      </c>
      <c r="F673" s="17">
        <v>0.52600000000000002</v>
      </c>
      <c r="G673" s="17">
        <v>5.5E-2</v>
      </c>
      <c r="H673" s="17" t="s">
        <v>37</v>
      </c>
      <c r="I673" s="15"/>
    </row>
    <row r="674" spans="1:16" ht="14" customHeight="1" x14ac:dyDescent="0.25">
      <c r="A674" s="154"/>
      <c r="B674" s="11">
        <v>6</v>
      </c>
      <c r="C674" s="15" t="s">
        <v>25</v>
      </c>
      <c r="D674" s="18">
        <v>1.5</v>
      </c>
      <c r="E674" s="18">
        <v>1.6</v>
      </c>
      <c r="F674" s="17">
        <v>-1.2E-2</v>
      </c>
      <c r="G674" s="17">
        <v>4.7E-2</v>
      </c>
      <c r="H674" s="17">
        <v>5.6000000000000001E-2</v>
      </c>
      <c r="I674" s="15"/>
    </row>
    <row r="675" spans="1:16" ht="14" customHeight="1" x14ac:dyDescent="0.25">
      <c r="A675" s="154"/>
      <c r="B675" s="11">
        <v>7</v>
      </c>
      <c r="C675" s="15" t="s">
        <v>100</v>
      </c>
      <c r="D675" s="18">
        <v>0.8</v>
      </c>
      <c r="E675" s="18">
        <v>1.5</v>
      </c>
      <c r="F675" s="17">
        <v>-0.43099999999999999</v>
      </c>
      <c r="G675" s="17">
        <v>2.5000000000000001E-2</v>
      </c>
      <c r="H675" s="17">
        <v>5.1999999999999998E-2</v>
      </c>
      <c r="I675" s="15"/>
    </row>
    <row r="676" spans="1:16" ht="14" customHeight="1" x14ac:dyDescent="0.25">
      <c r="A676" s="154"/>
      <c r="B676" s="11">
        <v>8</v>
      </c>
      <c r="C676" s="15" t="s">
        <v>101</v>
      </c>
      <c r="D676" s="18">
        <v>0.7</v>
      </c>
      <c r="E676" s="18">
        <v>0.9</v>
      </c>
      <c r="F676" s="17">
        <v>-0.26600000000000001</v>
      </c>
      <c r="G676" s="17">
        <v>2.1000000000000001E-2</v>
      </c>
      <c r="H676" s="17">
        <v>3.3000000000000002E-2</v>
      </c>
      <c r="I676" s="15"/>
    </row>
    <row r="677" spans="1:16" ht="14" customHeight="1" x14ac:dyDescent="0.25">
      <c r="A677" s="154"/>
      <c r="B677" s="11">
        <v>9</v>
      </c>
      <c r="C677" s="15" t="s">
        <v>103</v>
      </c>
      <c r="D677" s="18">
        <v>0.6</v>
      </c>
      <c r="E677" s="18">
        <v>0.5</v>
      </c>
      <c r="F677" s="17">
        <v>0.313</v>
      </c>
      <c r="G677" s="17">
        <v>0.02</v>
      </c>
      <c r="H677" s="17">
        <v>1.7999999999999999E-2</v>
      </c>
      <c r="I677" s="15"/>
    </row>
    <row r="678" spans="1:16" ht="14" customHeight="1" x14ac:dyDescent="0.25">
      <c r="A678" s="154"/>
      <c r="B678" s="15">
        <v>10</v>
      </c>
      <c r="C678" s="15" t="s">
        <v>181</v>
      </c>
      <c r="D678" s="18">
        <v>0.5</v>
      </c>
      <c r="E678" s="18">
        <v>0.5</v>
      </c>
      <c r="F678" s="17" t="s">
        <v>38</v>
      </c>
      <c r="G678" s="17">
        <v>1.6E-2</v>
      </c>
      <c r="H678" s="17">
        <v>1.9E-2</v>
      </c>
      <c r="I678" s="15"/>
    </row>
    <row r="679" spans="1:16" ht="14" customHeight="1" x14ac:dyDescent="0.25">
      <c r="A679" s="154"/>
      <c r="B679" s="15" t="s">
        <v>207</v>
      </c>
      <c r="C679" s="15"/>
      <c r="D679" s="18">
        <v>2</v>
      </c>
      <c r="E679" s="18">
        <v>2.7</v>
      </c>
      <c r="F679" s="17">
        <v>-0.26200000000000001</v>
      </c>
      <c r="G679" s="17">
        <v>0.06</v>
      </c>
      <c r="H679" s="17">
        <v>9.6000000000000002E-2</v>
      </c>
      <c r="I679" s="15"/>
    </row>
    <row r="680" spans="1:16" ht="14" customHeight="1" x14ac:dyDescent="0.25">
      <c r="A680" s="154"/>
      <c r="B680" s="15" t="s">
        <v>130</v>
      </c>
      <c r="C680" s="15"/>
      <c r="D680" s="18">
        <v>33</v>
      </c>
      <c r="E680" s="18">
        <v>27.9</v>
      </c>
      <c r="F680" s="17">
        <v>0.18099999999999999</v>
      </c>
      <c r="G680" s="17">
        <v>1</v>
      </c>
      <c r="H680" s="17">
        <v>1</v>
      </c>
      <c r="I680" s="15"/>
    </row>
    <row r="681" spans="1:16" ht="14" customHeight="1" x14ac:dyDescent="0.25">
      <c r="A681" s="154"/>
    </row>
    <row r="682" spans="1:16" ht="14" customHeight="1" x14ac:dyDescent="0.25">
      <c r="A682" s="154"/>
    </row>
    <row r="684" spans="1:16" ht="14" customHeight="1" x14ac:dyDescent="0.25">
      <c r="B684" s="11" t="s">
        <v>215</v>
      </c>
      <c r="C684" s="11"/>
      <c r="D684" s="11"/>
      <c r="E684" s="11"/>
      <c r="F684" s="11"/>
      <c r="G684" s="11"/>
      <c r="H684" s="11"/>
      <c r="I684" s="15"/>
      <c r="J684" s="11" t="s">
        <v>216</v>
      </c>
      <c r="K684" s="11"/>
      <c r="L684" s="11"/>
      <c r="M684" s="11"/>
      <c r="N684" s="11"/>
      <c r="O684" s="11"/>
      <c r="P684" s="11"/>
    </row>
    <row r="685" spans="1:16" ht="14" customHeight="1" x14ac:dyDescent="0.25">
      <c r="B685" s="11" t="s">
        <v>96</v>
      </c>
      <c r="C685" s="15" t="s">
        <v>123</v>
      </c>
      <c r="D685" s="19">
        <v>44896</v>
      </c>
      <c r="E685" s="19">
        <v>44531</v>
      </c>
      <c r="F685" s="15" t="s">
        <v>34</v>
      </c>
      <c r="G685" s="15" t="s">
        <v>176</v>
      </c>
      <c r="H685" s="15" t="s">
        <v>217</v>
      </c>
      <c r="I685" s="15"/>
      <c r="J685" s="11" t="s">
        <v>96</v>
      </c>
      <c r="K685" s="15" t="s">
        <v>123</v>
      </c>
      <c r="L685" s="19" t="s">
        <v>218</v>
      </c>
      <c r="M685" s="19" t="s">
        <v>219</v>
      </c>
      <c r="N685" s="21" t="s">
        <v>34</v>
      </c>
      <c r="O685" s="21" t="s">
        <v>220</v>
      </c>
      <c r="P685" s="21" t="s">
        <v>221</v>
      </c>
    </row>
    <row r="686" spans="1:16" ht="14" customHeight="1" x14ac:dyDescent="0.25">
      <c r="B686" s="11">
        <v>1</v>
      </c>
      <c r="C686" s="15"/>
      <c r="D686" s="18"/>
      <c r="E686" s="18"/>
      <c r="F686" s="17"/>
      <c r="G686" s="17"/>
      <c r="H686" s="17"/>
      <c r="I686" s="15"/>
      <c r="J686" s="11">
        <v>1</v>
      </c>
      <c r="K686" s="15" t="s">
        <v>98</v>
      </c>
      <c r="L686" s="18">
        <v>191.6</v>
      </c>
      <c r="M686" s="23">
        <v>99.5</v>
      </c>
      <c r="N686" s="51">
        <v>0.92500000000000004</v>
      </c>
      <c r="O686" s="51">
        <f>L686/$L$697</f>
        <v>0.36995558988221666</v>
      </c>
      <c r="P686" s="51">
        <v>0.33</v>
      </c>
    </row>
    <row r="687" spans="1:16" ht="14" customHeight="1" x14ac:dyDescent="0.25">
      <c r="B687" s="11">
        <v>2</v>
      </c>
      <c r="C687" s="15"/>
      <c r="D687" s="18"/>
      <c r="E687" s="18"/>
      <c r="F687" s="17"/>
      <c r="G687" s="17"/>
      <c r="H687" s="17"/>
      <c r="I687" s="15"/>
      <c r="J687" s="11">
        <v>2</v>
      </c>
      <c r="K687" s="15" t="s">
        <v>172</v>
      </c>
      <c r="L687" s="18">
        <v>70.400000000000006</v>
      </c>
      <c r="M687" s="23">
        <v>59.4</v>
      </c>
      <c r="N687" s="51">
        <v>0.185</v>
      </c>
      <c r="O687" s="51">
        <f t="shared" ref="O687:O697" si="186">L687/$L$697</f>
        <v>0.13593357791079361</v>
      </c>
      <c r="P687" s="51">
        <v>0.19700000000000001</v>
      </c>
    </row>
    <row r="688" spans="1:16" ht="14" customHeight="1" x14ac:dyDescent="0.25">
      <c r="B688" s="11">
        <v>3</v>
      </c>
      <c r="C688" s="15"/>
      <c r="D688" s="18"/>
      <c r="E688" s="18"/>
      <c r="F688" s="17"/>
      <c r="G688" s="17"/>
      <c r="H688" s="17"/>
      <c r="I688" s="15"/>
      <c r="J688" s="11">
        <v>3</v>
      </c>
      <c r="K688" s="15" t="s">
        <v>99</v>
      </c>
      <c r="L688" s="22">
        <v>70.400000000000006</v>
      </c>
      <c r="M688" s="23">
        <v>26.4</v>
      </c>
      <c r="N688" s="51">
        <v>1.671</v>
      </c>
      <c r="O688" s="51">
        <f t="shared" si="186"/>
        <v>0.13593357791079361</v>
      </c>
      <c r="P688" s="51">
        <v>8.6999999999999994E-2</v>
      </c>
    </row>
    <row r="689" spans="2:16" ht="14" customHeight="1" x14ac:dyDescent="0.25">
      <c r="B689" s="11">
        <v>4</v>
      </c>
      <c r="C689" s="15"/>
      <c r="D689" s="18"/>
      <c r="E689" s="18"/>
      <c r="F689" s="17"/>
      <c r="G689" s="17"/>
      <c r="H689" s="17"/>
      <c r="I689" s="15"/>
      <c r="J689" s="11">
        <v>4</v>
      </c>
      <c r="K689" s="15" t="s">
        <v>102</v>
      </c>
      <c r="L689" s="18">
        <v>38</v>
      </c>
      <c r="M689" s="23">
        <v>36.299999999999997</v>
      </c>
      <c r="N689" s="51">
        <v>4.5999999999999999E-2</v>
      </c>
      <c r="O689" s="51">
        <f t="shared" si="186"/>
        <v>7.3373238076848812E-2</v>
      </c>
      <c r="P689" s="51">
        <v>0.12</v>
      </c>
    </row>
    <row r="690" spans="2:16" ht="14" customHeight="1" x14ac:dyDescent="0.25">
      <c r="B690" s="11">
        <v>5</v>
      </c>
      <c r="C690" s="11"/>
      <c r="D690" s="18"/>
      <c r="E690" s="18"/>
      <c r="F690" s="17"/>
      <c r="G690" s="17"/>
      <c r="H690" s="17"/>
      <c r="I690" s="15"/>
      <c r="J690" s="11">
        <v>5</v>
      </c>
      <c r="K690" s="11" t="s">
        <v>25</v>
      </c>
      <c r="L690" s="18">
        <v>27.8</v>
      </c>
      <c r="M690" s="23">
        <v>17.3</v>
      </c>
      <c r="N690" s="51">
        <v>0.61099999999999999</v>
      </c>
      <c r="O690" s="51">
        <f t="shared" si="186"/>
        <v>5.3678316277273611E-2</v>
      </c>
      <c r="P690" s="51">
        <v>5.7000000000000002E-2</v>
      </c>
    </row>
    <row r="691" spans="2:16" ht="14" customHeight="1" x14ac:dyDescent="0.25">
      <c r="B691" s="11">
        <v>6</v>
      </c>
      <c r="C691" s="15"/>
      <c r="D691" s="18"/>
      <c r="E691" s="18"/>
      <c r="F691" s="17"/>
      <c r="G691" s="17"/>
      <c r="H691" s="17"/>
      <c r="I691" s="15"/>
      <c r="J691" s="11">
        <v>6</v>
      </c>
      <c r="K691" s="15" t="s">
        <v>173</v>
      </c>
      <c r="L691" s="18">
        <v>24.3</v>
      </c>
      <c r="M691" s="23">
        <v>14.5</v>
      </c>
      <c r="N691" s="51">
        <v>0.68500000000000005</v>
      </c>
      <c r="O691" s="51">
        <f t="shared" si="186"/>
        <v>4.6920254875458589E-2</v>
      </c>
      <c r="P691" s="51">
        <v>4.8000000000000001E-2</v>
      </c>
    </row>
    <row r="692" spans="2:16" ht="14" customHeight="1" x14ac:dyDescent="0.25">
      <c r="B692" s="11">
        <v>7</v>
      </c>
      <c r="C692" s="15"/>
      <c r="D692" s="18"/>
      <c r="E692" s="18"/>
      <c r="F692" s="17"/>
      <c r="G692" s="17"/>
      <c r="H692" s="17"/>
      <c r="I692" s="15"/>
      <c r="J692" s="11">
        <v>7</v>
      </c>
      <c r="K692" s="15" t="s">
        <v>100</v>
      </c>
      <c r="L692" s="18">
        <v>20</v>
      </c>
      <c r="M692" s="23">
        <v>8</v>
      </c>
      <c r="N692" s="51">
        <v>1.516</v>
      </c>
      <c r="O692" s="51">
        <f t="shared" si="186"/>
        <v>3.8617493724657274E-2</v>
      </c>
      <c r="P692" s="51">
        <v>2.5999999999999999E-2</v>
      </c>
    </row>
    <row r="693" spans="2:16" ht="14" customHeight="1" x14ac:dyDescent="0.25">
      <c r="B693" s="11">
        <v>8</v>
      </c>
      <c r="C693" s="15"/>
      <c r="D693" s="18"/>
      <c r="E693" s="18"/>
      <c r="F693" s="17"/>
      <c r="G693" s="17"/>
      <c r="H693" s="17"/>
      <c r="I693" s="15"/>
      <c r="J693" s="11">
        <v>8</v>
      </c>
      <c r="K693" s="15" t="s">
        <v>101</v>
      </c>
      <c r="L693" s="18">
        <v>14.1</v>
      </c>
      <c r="M693" s="23">
        <v>6.7</v>
      </c>
      <c r="N693" s="51">
        <v>1.1220000000000001</v>
      </c>
      <c r="O693" s="51">
        <f t="shared" si="186"/>
        <v>2.7225333075883377E-2</v>
      </c>
      <c r="P693" s="51">
        <v>2.1999999999999999E-2</v>
      </c>
    </row>
    <row r="694" spans="2:16" ht="14" customHeight="1" x14ac:dyDescent="0.25">
      <c r="B694" s="11">
        <v>9</v>
      </c>
      <c r="C694" s="15"/>
      <c r="D694" s="18"/>
      <c r="E694" s="18"/>
      <c r="F694" s="17"/>
      <c r="G694" s="17"/>
      <c r="H694" s="17"/>
      <c r="I694" s="15"/>
      <c r="J694" s="11">
        <v>9</v>
      </c>
      <c r="K694" s="15" t="s">
        <v>181</v>
      </c>
      <c r="L694" s="18">
        <v>9.1999999999999993</v>
      </c>
      <c r="M694" s="23">
        <v>2.6</v>
      </c>
      <c r="N694" s="51">
        <v>2.532</v>
      </c>
      <c r="O694" s="51">
        <f t="shared" si="186"/>
        <v>1.7764047113342344E-2</v>
      </c>
      <c r="P694" s="51">
        <v>8.9999999999999993E-3</v>
      </c>
    </row>
    <row r="695" spans="2:16" ht="14" customHeight="1" x14ac:dyDescent="0.25">
      <c r="B695" s="15">
        <v>10</v>
      </c>
      <c r="C695" s="15"/>
      <c r="D695" s="18"/>
      <c r="E695" s="18"/>
      <c r="F695" s="17"/>
      <c r="G695" s="17"/>
      <c r="H695" s="17"/>
      <c r="I695" s="15"/>
      <c r="J695" s="15">
        <v>10</v>
      </c>
      <c r="K695" s="15" t="s">
        <v>185</v>
      </c>
      <c r="L695" s="18">
        <v>7.4</v>
      </c>
      <c r="M695" s="23">
        <v>2.4</v>
      </c>
      <c r="N695" s="51">
        <v>2.1509999999999998</v>
      </c>
      <c r="O695" s="51">
        <f t="shared" si="186"/>
        <v>1.4288472678123191E-2</v>
      </c>
      <c r="P695" s="51">
        <v>8.0000000000000002E-3</v>
      </c>
    </row>
    <row r="696" spans="2:16" ht="14" customHeight="1" x14ac:dyDescent="0.25">
      <c r="B696" s="15" t="s">
        <v>207</v>
      </c>
      <c r="C696" s="15"/>
      <c r="D696" s="18"/>
      <c r="E696" s="18"/>
      <c r="F696" s="17"/>
      <c r="G696" s="17"/>
      <c r="H696" s="17"/>
      <c r="I696" s="15"/>
      <c r="J696" s="15"/>
      <c r="K696" s="15" t="s">
        <v>105</v>
      </c>
      <c r="L696" s="18">
        <v>44.5</v>
      </c>
      <c r="M696" s="23">
        <v>28.5</v>
      </c>
      <c r="N696" s="51">
        <v>0.55900000000000005</v>
      </c>
      <c r="O696" s="51">
        <f t="shared" si="186"/>
        <v>8.5923923537362432E-2</v>
      </c>
      <c r="P696" s="51">
        <v>9.5000000000000001E-2</v>
      </c>
    </row>
    <row r="697" spans="2:16" ht="14" customHeight="1" x14ac:dyDescent="0.25">
      <c r="B697" s="15" t="s">
        <v>130</v>
      </c>
      <c r="C697" s="15"/>
      <c r="D697" s="18"/>
      <c r="E697" s="18"/>
      <c r="F697" s="17"/>
      <c r="G697" s="17"/>
      <c r="H697" s="17"/>
      <c r="I697" s="15"/>
      <c r="J697" s="15" t="s">
        <v>130</v>
      </c>
      <c r="K697" s="15"/>
      <c r="L697" s="18">
        <v>517.9</v>
      </c>
      <c r="M697" s="18">
        <v>301.5</v>
      </c>
      <c r="N697" s="24">
        <v>0.71799999999999997</v>
      </c>
      <c r="O697" s="51">
        <f t="shared" si="186"/>
        <v>1</v>
      </c>
      <c r="P697" s="24">
        <v>1</v>
      </c>
    </row>
    <row r="698" spans="2:16" ht="14" customHeight="1" x14ac:dyDescent="0.25">
      <c r="B698" s="15"/>
      <c r="C698" s="15"/>
      <c r="D698" s="18"/>
      <c r="E698" s="18"/>
      <c r="F698" s="17"/>
      <c r="G698" s="17"/>
      <c r="H698" s="17"/>
      <c r="I698" s="15"/>
      <c r="J698" s="15"/>
      <c r="K698" s="15"/>
      <c r="L698" s="18"/>
      <c r="M698" s="23"/>
      <c r="N698" s="17"/>
      <c r="O698" s="17"/>
      <c r="P698" s="17"/>
    </row>
    <row r="701" spans="2:16" ht="14" customHeight="1" x14ac:dyDescent="0.25">
      <c r="B701" s="11" t="s">
        <v>222</v>
      </c>
      <c r="C701" s="11"/>
      <c r="D701" s="11"/>
      <c r="E701" s="11"/>
      <c r="F701" s="11"/>
      <c r="G701" s="11"/>
      <c r="H701" s="11"/>
      <c r="I701" s="15"/>
      <c r="J701" s="11" t="s">
        <v>223</v>
      </c>
      <c r="K701" s="11"/>
      <c r="L701" s="11"/>
      <c r="M701" s="11"/>
      <c r="N701" s="11"/>
      <c r="O701" s="11"/>
      <c r="P701" s="11"/>
    </row>
    <row r="702" spans="2:16" ht="14" customHeight="1" x14ac:dyDescent="0.25">
      <c r="B702" s="11" t="s">
        <v>96</v>
      </c>
      <c r="C702" s="15" t="s">
        <v>123</v>
      </c>
      <c r="D702" s="19">
        <v>44866</v>
      </c>
      <c r="E702" s="19">
        <v>44501</v>
      </c>
      <c r="F702" s="15" t="s">
        <v>34</v>
      </c>
      <c r="G702" s="15" t="s">
        <v>176</v>
      </c>
      <c r="H702" s="15" t="s">
        <v>217</v>
      </c>
      <c r="I702" s="15"/>
      <c r="J702" s="11" t="s">
        <v>96</v>
      </c>
      <c r="K702" s="15" t="s">
        <v>123</v>
      </c>
      <c r="L702" s="19" t="s">
        <v>224</v>
      </c>
      <c r="M702" s="19" t="s">
        <v>225</v>
      </c>
      <c r="N702" s="21" t="s">
        <v>34</v>
      </c>
      <c r="O702" s="21" t="s">
        <v>226</v>
      </c>
      <c r="P702" s="21" t="s">
        <v>221</v>
      </c>
    </row>
    <row r="703" spans="2:16" ht="14" customHeight="1" x14ac:dyDescent="0.25">
      <c r="B703" s="11">
        <v>1</v>
      </c>
      <c r="C703" s="15" t="s">
        <v>98</v>
      </c>
      <c r="D703" s="18">
        <v>23.4</v>
      </c>
      <c r="E703" s="18">
        <v>12.7</v>
      </c>
      <c r="F703" s="17">
        <v>0.83399999999999996</v>
      </c>
      <c r="G703" s="17">
        <v>0.40899999999999997</v>
      </c>
      <c r="H703" s="17">
        <v>0.36899999999999999</v>
      </c>
      <c r="I703" s="15"/>
      <c r="J703" s="11">
        <v>1</v>
      </c>
      <c r="K703" s="15" t="s">
        <v>98</v>
      </c>
      <c r="L703" s="15">
        <v>165.7</v>
      </c>
      <c r="M703" s="23">
        <v>82.1</v>
      </c>
      <c r="N703" s="51">
        <v>1.018</v>
      </c>
      <c r="O703" s="51">
        <v>0.371</v>
      </c>
      <c r="P703" s="51">
        <v>0.32200000000000001</v>
      </c>
    </row>
    <row r="704" spans="2:16" ht="14" customHeight="1" x14ac:dyDescent="0.25">
      <c r="B704" s="11">
        <v>2</v>
      </c>
      <c r="C704" s="15" t="s">
        <v>99</v>
      </c>
      <c r="D704" s="18">
        <v>8.9</v>
      </c>
      <c r="E704" s="18">
        <v>3.6</v>
      </c>
      <c r="F704" s="17">
        <v>1.476</v>
      </c>
      <c r="G704" s="17">
        <v>0.156</v>
      </c>
      <c r="H704" s="17">
        <v>0.104</v>
      </c>
      <c r="I704" s="15"/>
      <c r="J704" s="11">
        <v>2</v>
      </c>
      <c r="K704" s="15" t="s">
        <v>99</v>
      </c>
      <c r="L704" s="15">
        <v>60.6</v>
      </c>
      <c r="M704" s="23">
        <v>22.6</v>
      </c>
      <c r="N704" s="51">
        <v>1.6830000000000001</v>
      </c>
      <c r="O704" s="51">
        <v>0.13600000000000001</v>
      </c>
      <c r="P704" s="51">
        <v>8.7999999999999995E-2</v>
      </c>
    </row>
    <row r="705" spans="1:16" ht="14" customHeight="1" x14ac:dyDescent="0.25">
      <c r="B705" s="11">
        <v>3</v>
      </c>
      <c r="C705" s="15" t="s">
        <v>172</v>
      </c>
      <c r="D705" s="18">
        <v>6.8</v>
      </c>
      <c r="E705" s="18">
        <v>5.3</v>
      </c>
      <c r="F705" s="17">
        <v>0.28000000000000003</v>
      </c>
      <c r="G705" s="17">
        <v>0.11899999999999999</v>
      </c>
      <c r="H705" s="17">
        <v>0.154</v>
      </c>
      <c r="I705" s="15"/>
      <c r="J705" s="11">
        <v>3</v>
      </c>
      <c r="K705" s="15" t="s">
        <v>227</v>
      </c>
      <c r="L705" s="11">
        <v>54.8</v>
      </c>
      <c r="M705" s="23">
        <v>49.9</v>
      </c>
      <c r="N705" s="51">
        <v>9.7000000000000003E-2</v>
      </c>
      <c r="O705" s="51">
        <v>0.123</v>
      </c>
      <c r="P705" s="51">
        <v>0.19600000000000001</v>
      </c>
    </row>
    <row r="706" spans="1:16" ht="14" customHeight="1" x14ac:dyDescent="0.25">
      <c r="B706" s="11">
        <v>4</v>
      </c>
      <c r="C706" s="15" t="s">
        <v>102</v>
      </c>
      <c r="D706" s="18">
        <v>3.3</v>
      </c>
      <c r="E706" s="18">
        <v>3.4</v>
      </c>
      <c r="F706" s="17">
        <v>-2.5000000000000001E-2</v>
      </c>
      <c r="G706" s="17">
        <v>5.8000000000000003E-2</v>
      </c>
      <c r="H706" s="17">
        <v>9.8000000000000004E-2</v>
      </c>
      <c r="I706" s="15"/>
      <c r="J706" s="11">
        <v>4</v>
      </c>
      <c r="K706" s="15" t="s">
        <v>102</v>
      </c>
      <c r="L706" s="15">
        <v>34.1</v>
      </c>
      <c r="M706" s="23">
        <v>32.6</v>
      </c>
      <c r="N706" s="51">
        <v>4.7E-2</v>
      </c>
      <c r="O706" s="51">
        <v>7.6999999999999999E-2</v>
      </c>
      <c r="P706" s="51">
        <v>0.128</v>
      </c>
    </row>
    <row r="707" spans="1:16" ht="14" customHeight="1" x14ac:dyDescent="0.25">
      <c r="B707" s="11">
        <v>5</v>
      </c>
      <c r="C707" s="15" t="s">
        <v>173</v>
      </c>
      <c r="D707" s="18">
        <v>3</v>
      </c>
      <c r="E707" s="18">
        <v>1.4</v>
      </c>
      <c r="F707" s="17">
        <v>1.0900000000000001</v>
      </c>
      <c r="G707" s="17">
        <v>5.2999999999999999E-2</v>
      </c>
      <c r="H707" s="17">
        <v>4.2000000000000003E-2</v>
      </c>
      <c r="I707" s="15"/>
      <c r="J707" s="11">
        <v>5</v>
      </c>
      <c r="K707" s="11" t="s">
        <v>25</v>
      </c>
      <c r="L707" s="15">
        <v>26.1</v>
      </c>
      <c r="M707" s="23">
        <v>15.2</v>
      </c>
      <c r="N707" s="51">
        <v>0.72</v>
      </c>
      <c r="O707" s="51">
        <v>5.8999999999999997E-2</v>
      </c>
      <c r="P707" s="51">
        <v>0.06</v>
      </c>
    </row>
    <row r="708" spans="1:16" ht="14" customHeight="1" x14ac:dyDescent="0.25">
      <c r="B708" s="11">
        <v>6</v>
      </c>
      <c r="C708" s="11" t="s">
        <v>25</v>
      </c>
      <c r="D708" s="18">
        <v>2.5</v>
      </c>
      <c r="E708" s="18">
        <v>2.1</v>
      </c>
      <c r="F708" s="17">
        <v>0.22700000000000001</v>
      </c>
      <c r="G708" s="17">
        <v>4.3999999999999997E-2</v>
      </c>
      <c r="H708" s="17">
        <v>0.06</v>
      </c>
      <c r="I708" s="15"/>
      <c r="J708" s="11">
        <v>6</v>
      </c>
      <c r="K708" s="15" t="s">
        <v>173</v>
      </c>
      <c r="L708" s="15">
        <v>22.1</v>
      </c>
      <c r="M708" s="23">
        <v>12.6</v>
      </c>
      <c r="N708" s="51">
        <v>0.749</v>
      </c>
      <c r="O708" s="51">
        <v>0.05</v>
      </c>
      <c r="P708" s="51">
        <v>0.05</v>
      </c>
    </row>
    <row r="709" spans="1:16" ht="14" customHeight="1" x14ac:dyDescent="0.25">
      <c r="B709" s="11">
        <v>7</v>
      </c>
      <c r="C709" s="15" t="s">
        <v>228</v>
      </c>
      <c r="D709" s="18">
        <v>2.1</v>
      </c>
      <c r="E709" s="18">
        <v>0.8</v>
      </c>
      <c r="F709" s="17">
        <v>1.4470000000000001</v>
      </c>
      <c r="G709" s="17">
        <v>3.5999999999999997E-2</v>
      </c>
      <c r="H709" s="17">
        <v>2.4E-2</v>
      </c>
      <c r="I709" s="15"/>
      <c r="J709" s="11">
        <v>7</v>
      </c>
      <c r="K709" s="15" t="s">
        <v>228</v>
      </c>
      <c r="L709" s="15">
        <v>17.8</v>
      </c>
      <c r="M709" s="23">
        <v>6.8</v>
      </c>
      <c r="N709" s="51">
        <v>1.613</v>
      </c>
      <c r="O709" s="51">
        <v>0.04</v>
      </c>
      <c r="P709" s="51">
        <v>2.7E-2</v>
      </c>
    </row>
    <row r="710" spans="1:16" ht="14" customHeight="1" x14ac:dyDescent="0.25">
      <c r="B710" s="11">
        <v>8</v>
      </c>
      <c r="C710" s="15" t="s">
        <v>101</v>
      </c>
      <c r="D710" s="18">
        <v>1.4</v>
      </c>
      <c r="E710" s="18">
        <v>0.8</v>
      </c>
      <c r="F710" s="17">
        <v>0.77300000000000002</v>
      </c>
      <c r="G710" s="17">
        <v>2.5000000000000001E-2</v>
      </c>
      <c r="H710" s="17">
        <v>2.3E-2</v>
      </c>
      <c r="I710" s="15"/>
      <c r="J710" s="11">
        <v>8</v>
      </c>
      <c r="K710" s="15" t="s">
        <v>101</v>
      </c>
      <c r="L710" s="15">
        <v>12.7</v>
      </c>
      <c r="M710" s="23">
        <v>5.5</v>
      </c>
      <c r="N710" s="51">
        <v>1.3149999999999999</v>
      </c>
      <c r="O710" s="51">
        <v>2.8000000000000001E-2</v>
      </c>
      <c r="P710" s="51">
        <v>2.1000000000000001E-2</v>
      </c>
    </row>
    <row r="711" spans="1:16" ht="14" customHeight="1" x14ac:dyDescent="0.25">
      <c r="B711" s="11">
        <v>9</v>
      </c>
      <c r="C711" s="15" t="s">
        <v>181</v>
      </c>
      <c r="D711" s="18">
        <v>1</v>
      </c>
      <c r="E711" s="18">
        <v>0.5</v>
      </c>
      <c r="F711" s="17">
        <v>1.105</v>
      </c>
      <c r="G711" s="17">
        <v>1.7999999999999999E-2</v>
      </c>
      <c r="H711" s="17">
        <v>1.4E-2</v>
      </c>
      <c r="I711" s="15"/>
      <c r="J711" s="11">
        <v>9</v>
      </c>
      <c r="K711" s="15" t="s">
        <v>181</v>
      </c>
      <c r="L711" s="15">
        <v>7.5</v>
      </c>
      <c r="M711" s="23">
        <v>1.9</v>
      </c>
      <c r="N711" s="51">
        <v>2.8730000000000002</v>
      </c>
      <c r="O711" s="51">
        <v>1.7000000000000001E-2</v>
      </c>
      <c r="P711" s="51">
        <v>8.0000000000000002E-3</v>
      </c>
    </row>
    <row r="712" spans="1:16" ht="14" customHeight="1" x14ac:dyDescent="0.25">
      <c r="B712" s="15">
        <v>10</v>
      </c>
      <c r="C712" s="15" t="s">
        <v>103</v>
      </c>
      <c r="D712" s="18">
        <v>0.8</v>
      </c>
      <c r="E712" s="18">
        <v>0.5</v>
      </c>
      <c r="F712" s="17">
        <v>0.63500000000000001</v>
      </c>
      <c r="G712" s="17">
        <v>1.4E-2</v>
      </c>
      <c r="H712" s="17">
        <v>1.4E-2</v>
      </c>
      <c r="I712" s="15"/>
      <c r="J712" s="15">
        <v>10</v>
      </c>
      <c r="K712" s="6" t="s">
        <v>103</v>
      </c>
      <c r="L712" s="15">
        <v>5.9</v>
      </c>
      <c r="M712" s="23">
        <v>2.8</v>
      </c>
      <c r="N712" s="51">
        <v>1.103</v>
      </c>
      <c r="O712" s="51">
        <v>1.2999999999999999E-2</v>
      </c>
      <c r="P712" s="51">
        <v>1.0999999999999999E-2</v>
      </c>
    </row>
    <row r="713" spans="1:16" ht="14" customHeight="1" x14ac:dyDescent="0.25">
      <c r="B713" s="15" t="s">
        <v>207</v>
      </c>
      <c r="C713" s="15"/>
      <c r="D713" s="18">
        <v>3.9</v>
      </c>
      <c r="E713" s="18">
        <v>3.3</v>
      </c>
      <c r="F713" s="17">
        <v>0.17899999999999999</v>
      </c>
      <c r="G713" s="17">
        <v>6.8000000000000005E-2</v>
      </c>
      <c r="H713" s="17">
        <v>9.6000000000000002E-2</v>
      </c>
      <c r="I713" s="15"/>
      <c r="J713" s="15"/>
      <c r="K713" s="15" t="s">
        <v>105</v>
      </c>
      <c r="L713" s="15">
        <v>38.6</v>
      </c>
      <c r="M713" s="23">
        <v>23.2</v>
      </c>
      <c r="N713" s="51">
        <v>0.66500000000000004</v>
      </c>
      <c r="O713" s="51">
        <v>8.6999999999999994E-2</v>
      </c>
      <c r="P713" s="51">
        <v>9.0999999999999998E-2</v>
      </c>
    </row>
    <row r="714" spans="1:16" ht="14" customHeight="1" x14ac:dyDescent="0.25">
      <c r="B714" s="15" t="s">
        <v>130</v>
      </c>
      <c r="C714" s="15"/>
      <c r="D714" s="18">
        <v>57.2</v>
      </c>
      <c r="E714" s="18">
        <v>34.5</v>
      </c>
      <c r="F714" s="17">
        <v>0.65700000000000003</v>
      </c>
      <c r="G714" s="17">
        <v>1</v>
      </c>
      <c r="H714" s="17">
        <v>1</v>
      </c>
      <c r="I714" s="15"/>
      <c r="J714" s="15" t="s">
        <v>130</v>
      </c>
      <c r="K714" s="15"/>
      <c r="L714" s="18">
        <v>446</v>
      </c>
      <c r="M714" s="23">
        <v>255.3</v>
      </c>
      <c r="N714" s="17">
        <v>0.747</v>
      </c>
      <c r="O714" s="17">
        <v>1</v>
      </c>
      <c r="P714" s="17">
        <v>1</v>
      </c>
    </row>
    <row r="716" spans="1:16" ht="14" customHeight="1" x14ac:dyDescent="0.25">
      <c r="A716" s="156"/>
      <c r="B716" s="15"/>
      <c r="C716" s="15"/>
      <c r="D716" s="15"/>
      <c r="E716" s="15"/>
      <c r="F716" s="15"/>
      <c r="G716" s="15"/>
      <c r="H716" s="15"/>
      <c r="I716" s="15"/>
      <c r="J716" s="15"/>
      <c r="K716" s="15"/>
      <c r="L716" s="15"/>
      <c r="M716" s="15"/>
      <c r="N716" s="15"/>
      <c r="O716" s="15"/>
      <c r="P716" s="15"/>
    </row>
    <row r="717" spans="1:16" ht="14" customHeight="1" x14ac:dyDescent="0.25">
      <c r="A717" s="156"/>
      <c r="B717" s="15"/>
      <c r="C717" s="15"/>
      <c r="D717" s="15"/>
      <c r="E717" s="15"/>
      <c r="F717" s="15"/>
      <c r="G717" s="15"/>
      <c r="H717" s="15"/>
      <c r="I717" s="15"/>
      <c r="J717" s="25"/>
      <c r="K717" s="15"/>
      <c r="L717" s="15"/>
      <c r="M717" s="15"/>
      <c r="N717" s="15"/>
      <c r="O717" s="15"/>
      <c r="P717" s="15"/>
    </row>
    <row r="718" spans="1:16" ht="14" customHeight="1" x14ac:dyDescent="0.25">
      <c r="A718" s="156"/>
      <c r="B718" s="11" t="s">
        <v>229</v>
      </c>
      <c r="C718" s="11"/>
      <c r="D718" s="11"/>
      <c r="E718" s="11"/>
      <c r="F718" s="11"/>
      <c r="G718" s="11"/>
      <c r="H718" s="11"/>
      <c r="I718" s="15"/>
      <c r="J718" s="11" t="s">
        <v>230</v>
      </c>
      <c r="K718" s="11"/>
      <c r="L718" s="11"/>
      <c r="M718" s="11"/>
      <c r="N718" s="11"/>
      <c r="O718" s="11"/>
      <c r="P718" s="11"/>
    </row>
    <row r="719" spans="1:16" ht="14" customHeight="1" x14ac:dyDescent="0.25">
      <c r="A719" s="156"/>
      <c r="B719" s="11" t="s">
        <v>96</v>
      </c>
      <c r="C719" s="15" t="s">
        <v>123</v>
      </c>
      <c r="D719" s="19">
        <v>44835</v>
      </c>
      <c r="E719" s="19">
        <v>44470</v>
      </c>
      <c r="F719" s="15" t="s">
        <v>34</v>
      </c>
      <c r="G719" s="15" t="s">
        <v>176</v>
      </c>
      <c r="H719" s="15" t="s">
        <v>217</v>
      </c>
      <c r="I719" s="15"/>
      <c r="J719" s="11" t="s">
        <v>96</v>
      </c>
      <c r="K719" s="15" t="s">
        <v>123</v>
      </c>
      <c r="L719" s="19" t="s">
        <v>231</v>
      </c>
      <c r="M719" s="19" t="s">
        <v>232</v>
      </c>
      <c r="N719" s="21" t="s">
        <v>34</v>
      </c>
      <c r="O719" s="21" t="s">
        <v>233</v>
      </c>
      <c r="P719" s="21" t="s">
        <v>221</v>
      </c>
    </row>
    <row r="720" spans="1:16" ht="14" customHeight="1" x14ac:dyDescent="0.25">
      <c r="A720" s="156"/>
      <c r="B720" s="11">
        <v>1</v>
      </c>
      <c r="C720" s="15" t="s">
        <v>98</v>
      </c>
      <c r="D720" s="18">
        <v>18.100000000000001</v>
      </c>
      <c r="E720" s="18">
        <v>9.6</v>
      </c>
      <c r="F720" s="17">
        <v>0.88800000000000001</v>
      </c>
      <c r="G720" s="17">
        <v>0.376</v>
      </c>
      <c r="H720" s="17">
        <v>0.34599999999999997</v>
      </c>
      <c r="I720" s="15"/>
      <c r="J720" s="11">
        <v>1</v>
      </c>
      <c r="K720" s="15" t="s">
        <v>98</v>
      </c>
      <c r="L720" s="15">
        <v>137.69999999999999</v>
      </c>
      <c r="M720" s="23">
        <v>69.400000000000006</v>
      </c>
      <c r="N720" s="51">
        <v>0.98599999999999999</v>
      </c>
      <c r="O720" s="51">
        <v>0.35299999999999998</v>
      </c>
      <c r="P720" s="51">
        <v>0.312</v>
      </c>
    </row>
    <row r="721" spans="1:16" ht="14" customHeight="1" x14ac:dyDescent="0.25">
      <c r="A721" s="156"/>
      <c r="B721" s="11">
        <v>2</v>
      </c>
      <c r="C721" s="15" t="s">
        <v>99</v>
      </c>
      <c r="D721" s="18">
        <v>7.8</v>
      </c>
      <c r="E721" s="18">
        <v>3.2</v>
      </c>
      <c r="F721" s="17">
        <v>1.419</v>
      </c>
      <c r="G721" s="17">
        <v>0.16200000000000001</v>
      </c>
      <c r="H721" s="17">
        <v>0.11600000000000001</v>
      </c>
      <c r="I721" s="15"/>
      <c r="J721" s="11">
        <v>2</v>
      </c>
      <c r="K721" s="15" t="s">
        <v>227</v>
      </c>
      <c r="L721" s="15">
        <v>53.7</v>
      </c>
      <c r="M721" s="23">
        <v>46.3</v>
      </c>
      <c r="N721" s="51">
        <v>0.161</v>
      </c>
      <c r="O721" s="51">
        <v>0.13800000000000001</v>
      </c>
      <c r="P721" s="51">
        <v>0.20799999999999999</v>
      </c>
    </row>
    <row r="722" spans="1:16" ht="14" customHeight="1" x14ac:dyDescent="0.25">
      <c r="A722" s="156"/>
      <c r="B722" s="11">
        <v>3</v>
      </c>
      <c r="C722" s="15" t="s">
        <v>172</v>
      </c>
      <c r="D722" s="18">
        <v>5.4</v>
      </c>
      <c r="E722" s="18">
        <v>4.2</v>
      </c>
      <c r="F722" s="17">
        <v>0.30199999999999999</v>
      </c>
      <c r="G722" s="17">
        <v>0.113</v>
      </c>
      <c r="H722" s="17">
        <v>0.151</v>
      </c>
      <c r="I722" s="15"/>
      <c r="J722" s="11">
        <v>3</v>
      </c>
      <c r="K722" s="15" t="s">
        <v>99</v>
      </c>
      <c r="L722" s="11">
        <v>51.5</v>
      </c>
      <c r="M722" s="23">
        <v>19</v>
      </c>
      <c r="N722" s="51">
        <v>1.714</v>
      </c>
      <c r="O722" s="51">
        <v>0.13200000000000001</v>
      </c>
      <c r="P722" s="51">
        <v>8.5000000000000006E-2</v>
      </c>
    </row>
    <row r="723" spans="1:16" ht="14" customHeight="1" x14ac:dyDescent="0.25">
      <c r="A723" s="156"/>
      <c r="B723" s="11">
        <v>4</v>
      </c>
      <c r="C723" s="15" t="s">
        <v>102</v>
      </c>
      <c r="D723" s="18">
        <v>3</v>
      </c>
      <c r="E723" s="18">
        <v>2.6</v>
      </c>
      <c r="F723" s="17">
        <v>0.16200000000000001</v>
      </c>
      <c r="G723" s="17">
        <v>6.3E-2</v>
      </c>
      <c r="H723" s="17">
        <v>9.4E-2</v>
      </c>
      <c r="I723" s="15"/>
      <c r="J723" s="11">
        <v>4</v>
      </c>
      <c r="K723" s="15" t="s">
        <v>102</v>
      </c>
      <c r="L723" s="15">
        <v>30.8</v>
      </c>
      <c r="M723" s="23">
        <v>29.2</v>
      </c>
      <c r="N723" s="51">
        <v>5.4794520547945202E-2</v>
      </c>
      <c r="O723" s="51">
        <v>7.9000000000000001E-2</v>
      </c>
      <c r="P723" s="51">
        <v>0.13100000000000001</v>
      </c>
    </row>
    <row r="724" spans="1:16" ht="14" customHeight="1" x14ac:dyDescent="0.25">
      <c r="A724" s="156"/>
      <c r="B724" s="11">
        <v>5</v>
      </c>
      <c r="C724" s="11" t="s">
        <v>25</v>
      </c>
      <c r="D724" s="18">
        <v>2.6</v>
      </c>
      <c r="E724" s="18">
        <v>2.1</v>
      </c>
      <c r="F724" s="17">
        <v>0.247</v>
      </c>
      <c r="G724" s="17">
        <v>5.3999999999999999E-2</v>
      </c>
      <c r="H724" s="17">
        <v>7.4999999999999997E-2</v>
      </c>
      <c r="I724" s="15"/>
      <c r="J724" s="11">
        <v>5</v>
      </c>
      <c r="K724" s="11" t="s">
        <v>25</v>
      </c>
      <c r="L724" s="15">
        <v>24.1</v>
      </c>
      <c r="M724" s="23">
        <v>13.1</v>
      </c>
      <c r="N724" s="51">
        <v>0.83199999999999996</v>
      </c>
      <c r="O724" s="51">
        <v>6.2E-2</v>
      </c>
      <c r="P724" s="51">
        <v>5.8999999999999997E-2</v>
      </c>
    </row>
    <row r="725" spans="1:16" ht="14" customHeight="1" x14ac:dyDescent="0.25">
      <c r="A725" s="156"/>
      <c r="B725" s="11">
        <v>6</v>
      </c>
      <c r="C725" s="15" t="s">
        <v>173</v>
      </c>
      <c r="D725" s="18">
        <v>2.4</v>
      </c>
      <c r="E725" s="18">
        <v>1.1000000000000001</v>
      </c>
      <c r="F725" s="17">
        <v>1.109</v>
      </c>
      <c r="G725" s="17">
        <v>4.9000000000000002E-2</v>
      </c>
      <c r="H725" s="17">
        <v>0.04</v>
      </c>
      <c r="I725" s="15"/>
      <c r="J725" s="11">
        <v>6</v>
      </c>
      <c r="K725" s="15" t="s">
        <v>173</v>
      </c>
      <c r="L725" s="15">
        <v>18.899999999999999</v>
      </c>
      <c r="M725" s="23">
        <v>11.2</v>
      </c>
      <c r="N725" s="51">
        <v>0.69</v>
      </c>
      <c r="O725" s="51">
        <v>4.8000000000000001E-2</v>
      </c>
      <c r="P725" s="51">
        <v>0.05</v>
      </c>
    </row>
    <row r="726" spans="1:16" ht="14" customHeight="1" x14ac:dyDescent="0.25">
      <c r="A726" s="156"/>
      <c r="B726" s="11">
        <v>7</v>
      </c>
      <c r="C726" s="15" t="s">
        <v>228</v>
      </c>
      <c r="D726" s="18">
        <v>2.1</v>
      </c>
      <c r="E726" s="18">
        <v>0.6</v>
      </c>
      <c r="F726" s="17">
        <v>2.794</v>
      </c>
      <c r="G726" s="17">
        <v>4.3999999999999997E-2</v>
      </c>
      <c r="H726" s="17">
        <v>0.02</v>
      </c>
      <c r="I726" s="15"/>
      <c r="J726" s="11">
        <v>7</v>
      </c>
      <c r="K726" s="15" t="s">
        <v>228</v>
      </c>
      <c r="L726" s="15">
        <v>16.3</v>
      </c>
      <c r="M726" s="23">
        <v>6</v>
      </c>
      <c r="N726" s="51">
        <v>1.7270000000000001</v>
      </c>
      <c r="O726" s="51">
        <v>4.2000000000000003E-2</v>
      </c>
      <c r="P726" s="51">
        <v>2.7E-2</v>
      </c>
    </row>
    <row r="727" spans="1:16" ht="14" customHeight="1" x14ac:dyDescent="0.25">
      <c r="A727" s="156"/>
      <c r="B727" s="11">
        <v>8</v>
      </c>
      <c r="C727" s="15" t="s">
        <v>101</v>
      </c>
      <c r="D727" s="18">
        <v>1.5</v>
      </c>
      <c r="E727" s="18">
        <v>0.7</v>
      </c>
      <c r="F727" s="17">
        <v>1.004</v>
      </c>
      <c r="G727" s="17">
        <v>0.03</v>
      </c>
      <c r="H727" s="17">
        <v>2.5999999999999999E-2</v>
      </c>
      <c r="I727" s="15"/>
      <c r="J727" s="11">
        <v>8</v>
      </c>
      <c r="K727" s="15" t="s">
        <v>101</v>
      </c>
      <c r="L727" s="15">
        <v>11.3</v>
      </c>
      <c r="M727" s="23">
        <v>4.7</v>
      </c>
      <c r="N727" s="51">
        <v>1.42</v>
      </c>
      <c r="O727" s="51">
        <v>2.9000000000000001E-2</v>
      </c>
      <c r="P727" s="51">
        <v>2.1000000000000001E-2</v>
      </c>
    </row>
    <row r="728" spans="1:16" ht="14" customHeight="1" x14ac:dyDescent="0.25">
      <c r="A728" s="156"/>
      <c r="B728" s="11">
        <v>9</v>
      </c>
      <c r="C728" s="15" t="s">
        <v>181</v>
      </c>
      <c r="D728" s="18">
        <v>0.7</v>
      </c>
      <c r="E728" s="18">
        <v>0.3</v>
      </c>
      <c r="F728" s="17">
        <v>1.234</v>
      </c>
      <c r="G728" s="17">
        <v>1.4999999999999999E-2</v>
      </c>
      <c r="H728" s="17">
        <v>1.2E-2</v>
      </c>
      <c r="I728" s="15"/>
      <c r="J728" s="11">
        <v>9</v>
      </c>
      <c r="K728" s="15" t="s">
        <v>181</v>
      </c>
      <c r="L728" s="15">
        <v>6.5</v>
      </c>
      <c r="M728" s="23">
        <v>1.5</v>
      </c>
      <c r="N728" s="51">
        <v>3.452</v>
      </c>
      <c r="O728" s="51">
        <v>1.7000000000000001E-2</v>
      </c>
      <c r="P728" s="51">
        <v>7.0000000000000001E-3</v>
      </c>
    </row>
    <row r="729" spans="1:16" ht="14" customHeight="1" x14ac:dyDescent="0.25">
      <c r="A729" s="156"/>
      <c r="B729" s="15">
        <v>10</v>
      </c>
      <c r="C729" s="15" t="s">
        <v>103</v>
      </c>
      <c r="D729" s="18">
        <v>0.6</v>
      </c>
      <c r="E729" s="18">
        <v>0.3</v>
      </c>
      <c r="F729" s="17">
        <v>0.82899999999999996</v>
      </c>
      <c r="G729" s="17">
        <v>1.2999999999999999E-2</v>
      </c>
      <c r="H729" s="17">
        <v>1.2E-2</v>
      </c>
      <c r="I729" s="15"/>
      <c r="J729" s="6">
        <v>10</v>
      </c>
      <c r="K729" s="6" t="s">
        <v>103</v>
      </c>
      <c r="L729" s="15">
        <v>5.0999999999999996</v>
      </c>
      <c r="M729" s="23">
        <v>2.2999999999999998</v>
      </c>
      <c r="N729" s="51">
        <v>1.2030000000000001</v>
      </c>
      <c r="O729" s="51">
        <v>1.2999999999999999E-2</v>
      </c>
      <c r="P729" s="51">
        <v>0.01</v>
      </c>
    </row>
    <row r="730" spans="1:16" ht="14" customHeight="1" x14ac:dyDescent="0.25">
      <c r="A730" s="156"/>
      <c r="B730" s="15" t="s">
        <v>207</v>
      </c>
      <c r="C730" s="15"/>
      <c r="D730" s="18">
        <v>3.8</v>
      </c>
      <c r="E730" s="18">
        <v>2.9</v>
      </c>
      <c r="F730" s="17">
        <v>0.30399999999999999</v>
      </c>
      <c r="G730" s="17">
        <v>0.08</v>
      </c>
      <c r="H730" s="17">
        <v>0.106</v>
      </c>
      <c r="I730" s="15"/>
      <c r="J730" s="15"/>
      <c r="K730" s="15" t="s">
        <v>105</v>
      </c>
      <c r="L730" s="15">
        <v>34.299999999999997</v>
      </c>
      <c r="M730" s="23">
        <v>19.899999999999999</v>
      </c>
      <c r="N730" s="51">
        <v>0.72499999999999998</v>
      </c>
      <c r="O730" s="51">
        <v>8.7999999999999995E-2</v>
      </c>
      <c r="P730" s="51">
        <v>8.8999999999999996E-2</v>
      </c>
    </row>
    <row r="731" spans="1:16" ht="14" customHeight="1" x14ac:dyDescent="0.25">
      <c r="A731" s="156"/>
      <c r="B731" s="15" t="s">
        <v>130</v>
      </c>
      <c r="C731" s="15"/>
      <c r="D731" s="18">
        <v>48</v>
      </c>
      <c r="E731" s="18">
        <v>27.7</v>
      </c>
      <c r="F731" s="17">
        <v>0.73599999999999999</v>
      </c>
      <c r="G731" s="17">
        <v>1</v>
      </c>
      <c r="H731" s="17">
        <v>1</v>
      </c>
      <c r="I731" s="15"/>
      <c r="J731" s="15" t="s">
        <v>130</v>
      </c>
      <c r="K731" s="15"/>
      <c r="L731" s="15">
        <v>390.4</v>
      </c>
      <c r="M731" s="23">
        <v>222.5</v>
      </c>
      <c r="N731" s="17">
        <v>0.754</v>
      </c>
      <c r="O731" s="17">
        <v>1</v>
      </c>
      <c r="P731" s="17">
        <v>1</v>
      </c>
    </row>
    <row r="732" spans="1:16" ht="14" customHeight="1" x14ac:dyDescent="0.25">
      <c r="A732" s="156"/>
      <c r="B732" s="15"/>
      <c r="C732" s="15"/>
      <c r="D732" s="15"/>
      <c r="E732" s="15"/>
      <c r="F732" s="15"/>
      <c r="G732" s="15"/>
      <c r="H732" s="15"/>
      <c r="I732" s="15"/>
      <c r="J732" s="15"/>
      <c r="K732" s="15"/>
      <c r="L732" s="15"/>
      <c r="M732" s="15"/>
      <c r="N732" s="15"/>
      <c r="O732" s="15"/>
      <c r="P732" s="15"/>
    </row>
    <row r="733" spans="1:16" ht="14" customHeight="1" x14ac:dyDescent="0.25">
      <c r="A733" s="156"/>
      <c r="B733" s="15"/>
      <c r="C733" s="15"/>
      <c r="D733" s="15"/>
      <c r="E733" s="15"/>
      <c r="F733" s="15"/>
      <c r="G733" s="15"/>
      <c r="H733" s="15"/>
      <c r="I733" s="15"/>
      <c r="J733" s="15"/>
      <c r="K733" s="15"/>
      <c r="L733" s="15"/>
      <c r="M733" s="15"/>
      <c r="N733" s="15"/>
      <c r="O733" s="15"/>
      <c r="P733" s="15"/>
    </row>
    <row r="734" spans="1:16" ht="14" customHeight="1" x14ac:dyDescent="0.25">
      <c r="A734" s="156"/>
      <c r="B734" s="15"/>
      <c r="C734" s="15"/>
      <c r="D734" s="15"/>
      <c r="E734" s="15"/>
      <c r="F734" s="15"/>
      <c r="G734" s="15"/>
      <c r="H734" s="15"/>
      <c r="I734" s="15"/>
      <c r="J734" s="15"/>
      <c r="K734" s="15"/>
      <c r="L734" s="15"/>
      <c r="M734" s="15"/>
      <c r="N734" s="15"/>
      <c r="O734" s="15"/>
      <c r="P734" s="15"/>
    </row>
    <row r="735" spans="1:16" ht="14" customHeight="1" x14ac:dyDescent="0.25">
      <c r="A735" s="156"/>
      <c r="B735" s="15"/>
      <c r="C735" s="15"/>
      <c r="D735" s="15"/>
      <c r="E735" s="15"/>
      <c r="F735" s="15"/>
      <c r="G735" s="15"/>
      <c r="H735" s="15"/>
      <c r="I735" s="15"/>
      <c r="J735" s="15"/>
      <c r="K735" s="15"/>
      <c r="L735" s="15"/>
      <c r="M735" s="15"/>
      <c r="N735" s="15"/>
      <c r="O735" s="15"/>
      <c r="P735" s="15"/>
    </row>
    <row r="736" spans="1:16" ht="14" customHeight="1" x14ac:dyDescent="0.25">
      <c r="A736" s="156"/>
      <c r="B736" s="15"/>
      <c r="C736" s="15"/>
      <c r="D736" s="15"/>
      <c r="E736" s="15"/>
      <c r="F736" s="15"/>
      <c r="G736" s="15"/>
      <c r="H736" s="15"/>
      <c r="I736" s="15"/>
      <c r="J736" s="25"/>
      <c r="K736" s="15"/>
      <c r="L736" s="15"/>
      <c r="M736" s="15"/>
      <c r="N736" s="15"/>
      <c r="O736" s="15"/>
      <c r="P736" s="15"/>
    </row>
    <row r="737" spans="1:16" ht="14" customHeight="1" x14ac:dyDescent="0.25">
      <c r="A737" s="156"/>
      <c r="B737" s="11" t="s">
        <v>234</v>
      </c>
      <c r="C737" s="11"/>
      <c r="D737" s="11"/>
      <c r="E737" s="11"/>
      <c r="F737" s="11"/>
      <c r="G737" s="11">
        <v>54.8209366391185</v>
      </c>
      <c r="H737" s="11">
        <v>33.983286908078</v>
      </c>
      <c r="I737" s="15"/>
      <c r="J737" s="11" t="s">
        <v>235</v>
      </c>
      <c r="K737" s="11"/>
      <c r="L737" s="11"/>
      <c r="M737" s="11"/>
      <c r="N737" s="11"/>
      <c r="O737" s="11"/>
      <c r="P737" s="11"/>
    </row>
    <row r="738" spans="1:16" ht="14" customHeight="1" x14ac:dyDescent="0.25">
      <c r="A738" s="156"/>
      <c r="B738" s="11" t="s">
        <v>96</v>
      </c>
      <c r="C738" s="15" t="s">
        <v>123</v>
      </c>
      <c r="D738" s="19">
        <v>44805</v>
      </c>
      <c r="E738" s="19">
        <v>44440</v>
      </c>
      <c r="F738" s="15" t="s">
        <v>34</v>
      </c>
      <c r="G738" s="15" t="s">
        <v>176</v>
      </c>
      <c r="H738" s="15" t="s">
        <v>217</v>
      </c>
      <c r="I738" s="15"/>
      <c r="J738" s="11" t="s">
        <v>96</v>
      </c>
      <c r="K738" s="15" t="s">
        <v>123</v>
      </c>
      <c r="L738" s="19" t="s">
        <v>236</v>
      </c>
      <c r="M738" s="19" t="s">
        <v>237</v>
      </c>
      <c r="N738" s="21" t="s">
        <v>34</v>
      </c>
      <c r="O738" s="21" t="s">
        <v>180</v>
      </c>
      <c r="P738" s="21" t="s">
        <v>221</v>
      </c>
    </row>
    <row r="739" spans="1:16" ht="14" customHeight="1" x14ac:dyDescent="0.25">
      <c r="A739" s="156"/>
      <c r="B739" s="11">
        <v>1</v>
      </c>
      <c r="C739" s="15" t="s">
        <v>98</v>
      </c>
      <c r="D739" s="18">
        <v>19.899999999999999</v>
      </c>
      <c r="E739" s="18">
        <v>12.2</v>
      </c>
      <c r="F739" s="17">
        <v>0.628</v>
      </c>
      <c r="G739" s="17">
        <v>0.36299999999999999</v>
      </c>
      <c r="H739" s="17">
        <v>0.35899999999999999</v>
      </c>
      <c r="I739" s="15"/>
      <c r="J739" s="11">
        <v>1</v>
      </c>
      <c r="K739" s="15" t="s">
        <v>98</v>
      </c>
      <c r="L739" s="15">
        <v>119.8</v>
      </c>
      <c r="M739" s="23">
        <v>59.8</v>
      </c>
      <c r="N739" s="51">
        <v>1.0029999999999999</v>
      </c>
      <c r="O739" s="51">
        <v>0.35099999999999998</v>
      </c>
      <c r="P739" s="51">
        <v>0.307</v>
      </c>
    </row>
    <row r="740" spans="1:16" ht="14" customHeight="1" x14ac:dyDescent="0.25">
      <c r="A740" s="156"/>
      <c r="B740" s="11">
        <v>2</v>
      </c>
      <c r="C740" s="15" t="s">
        <v>227</v>
      </c>
      <c r="D740" s="18">
        <v>8.8000000000000007</v>
      </c>
      <c r="E740" s="18">
        <v>6.3</v>
      </c>
      <c r="F740" s="17">
        <v>0.39200000000000002</v>
      </c>
      <c r="G740" s="17">
        <v>0.16</v>
      </c>
      <c r="H740" s="17">
        <v>0.186</v>
      </c>
      <c r="I740" s="15"/>
      <c r="J740" s="11">
        <v>2</v>
      </c>
      <c r="K740" s="15" t="s">
        <v>227</v>
      </c>
      <c r="L740" s="15">
        <v>48.1</v>
      </c>
      <c r="M740" s="23">
        <v>42.1</v>
      </c>
      <c r="N740" s="51">
        <v>0.14099999999999999</v>
      </c>
      <c r="O740" s="51">
        <v>0.14099999999999999</v>
      </c>
      <c r="P740" s="51">
        <v>0.216</v>
      </c>
    </row>
    <row r="741" spans="1:16" ht="14" customHeight="1" x14ac:dyDescent="0.25">
      <c r="A741" s="156"/>
      <c r="B741" s="11">
        <v>3</v>
      </c>
      <c r="C741" s="15" t="s">
        <v>99</v>
      </c>
      <c r="D741" s="18">
        <v>7.3</v>
      </c>
      <c r="E741" s="18">
        <v>3.3</v>
      </c>
      <c r="F741" s="17">
        <v>1.2170000000000001</v>
      </c>
      <c r="G741" s="17">
        <v>0.1331608040201</v>
      </c>
      <c r="H741" s="17">
        <v>9.6000000000000002E-2</v>
      </c>
      <c r="I741" s="15"/>
      <c r="J741" s="11">
        <v>3</v>
      </c>
      <c r="K741" s="15" t="s">
        <v>99</v>
      </c>
      <c r="L741" s="15">
        <v>43.6</v>
      </c>
      <c r="M741" s="23">
        <v>15.8</v>
      </c>
      <c r="N741" s="51">
        <v>1.77</v>
      </c>
      <c r="O741" s="51">
        <v>0.128</v>
      </c>
      <c r="P741" s="51">
        <v>8.1000000000000003E-2</v>
      </c>
    </row>
    <row r="742" spans="1:16" ht="14" customHeight="1" x14ac:dyDescent="0.25">
      <c r="A742" s="156"/>
      <c r="B742" s="11">
        <v>4</v>
      </c>
      <c r="C742" s="15" t="s">
        <v>102</v>
      </c>
      <c r="D742" s="18">
        <v>3.5</v>
      </c>
      <c r="E742" s="18">
        <v>3.8</v>
      </c>
      <c r="F742" s="17">
        <v>-8.1000000000000003E-2</v>
      </c>
      <c r="G742" s="17">
        <v>6.5000000000000002E-2</v>
      </c>
      <c r="H742" s="17">
        <v>0.113</v>
      </c>
      <c r="I742" s="15"/>
      <c r="J742" s="11">
        <v>4</v>
      </c>
      <c r="K742" s="15" t="s">
        <v>102</v>
      </c>
      <c r="L742" s="15">
        <v>27.8</v>
      </c>
      <c r="M742" s="23">
        <v>26.6</v>
      </c>
      <c r="N742" s="51">
        <v>4.3999999999999997E-2</v>
      </c>
      <c r="O742" s="51">
        <v>8.1000000000000003E-2</v>
      </c>
      <c r="P742" s="51">
        <v>0.13600000000000001</v>
      </c>
    </row>
    <row r="743" spans="1:16" ht="14" customHeight="1" x14ac:dyDescent="0.25">
      <c r="A743" s="156"/>
      <c r="B743" s="11">
        <v>5</v>
      </c>
      <c r="C743" s="11" t="s">
        <v>25</v>
      </c>
      <c r="D743" s="18">
        <v>2.8</v>
      </c>
      <c r="E743" s="18">
        <v>1.8</v>
      </c>
      <c r="F743" s="17">
        <v>0.52700000000000002</v>
      </c>
      <c r="G743" s="17">
        <v>5.1075376884422097E-2</v>
      </c>
      <c r="H743" s="17">
        <v>5.3999999999999999E-2</v>
      </c>
      <c r="I743" s="15"/>
      <c r="J743" s="11">
        <v>5</v>
      </c>
      <c r="K743" s="11" t="s">
        <v>25</v>
      </c>
      <c r="L743" s="15">
        <v>21.2</v>
      </c>
      <c r="M743" s="23">
        <v>11.1</v>
      </c>
      <c r="N743" s="51">
        <v>0.92</v>
      </c>
      <c r="O743" s="51">
        <v>6.2E-2</v>
      </c>
      <c r="P743" s="51">
        <v>5.7000000000000002E-2</v>
      </c>
    </row>
    <row r="744" spans="1:16" ht="14" customHeight="1" x14ac:dyDescent="0.25">
      <c r="A744" s="156"/>
      <c r="B744" s="11">
        <v>6</v>
      </c>
      <c r="C744" s="15" t="s">
        <v>173</v>
      </c>
      <c r="D744" s="18">
        <v>2.4</v>
      </c>
      <c r="E744" s="18">
        <v>1.2</v>
      </c>
      <c r="F744" s="17">
        <v>0.95099999999999996</v>
      </c>
      <c r="G744" s="17">
        <v>4.3778894472361801E-2</v>
      </c>
      <c r="H744" s="17">
        <v>3.5999999999999997E-2</v>
      </c>
      <c r="I744" s="15"/>
      <c r="J744" s="11">
        <v>6</v>
      </c>
      <c r="K744" s="15" t="s">
        <v>173</v>
      </c>
      <c r="L744" s="15">
        <v>16.600000000000001</v>
      </c>
      <c r="M744" s="23">
        <v>10.1</v>
      </c>
      <c r="N744" s="51">
        <v>0.65100000000000002</v>
      </c>
      <c r="O744" s="51">
        <v>4.9000000000000002E-2</v>
      </c>
      <c r="P744" s="51">
        <v>5.1999999999999998E-2</v>
      </c>
    </row>
    <row r="745" spans="1:16" ht="14" customHeight="1" x14ac:dyDescent="0.25">
      <c r="A745" s="156"/>
      <c r="B745" s="11">
        <v>7</v>
      </c>
      <c r="C745" s="15" t="s">
        <v>228</v>
      </c>
      <c r="D745" s="18">
        <v>2</v>
      </c>
      <c r="E745" s="18">
        <v>0.6</v>
      </c>
      <c r="F745" s="17">
        <v>2.222</v>
      </c>
      <c r="G745" s="17">
        <v>3.6999999999999998E-2</v>
      </c>
      <c r="H745" s="17">
        <v>1.9E-2</v>
      </c>
      <c r="I745" s="15"/>
      <c r="J745" s="11">
        <v>7</v>
      </c>
      <c r="K745" s="15" t="s">
        <v>228</v>
      </c>
      <c r="L745" s="15">
        <v>13.7</v>
      </c>
      <c r="M745" s="23">
        <v>5.4</v>
      </c>
      <c r="N745" s="51">
        <v>1.516</v>
      </c>
      <c r="O745" s="51">
        <v>0.04</v>
      </c>
      <c r="P745" s="51">
        <v>2.8000000000000001E-2</v>
      </c>
    </row>
    <row r="746" spans="1:16" ht="14" customHeight="1" x14ac:dyDescent="0.25">
      <c r="A746" s="156"/>
      <c r="B746" s="11">
        <v>8</v>
      </c>
      <c r="C746" s="15" t="s">
        <v>101</v>
      </c>
      <c r="D746" s="18">
        <v>1.6</v>
      </c>
      <c r="E746" s="18">
        <v>0.6</v>
      </c>
      <c r="F746" s="17">
        <v>1.5109999999999999</v>
      </c>
      <c r="G746" s="17">
        <v>2.91859296482412E-2</v>
      </c>
      <c r="H746" s="17">
        <v>1.9E-2</v>
      </c>
      <c r="I746" s="15"/>
      <c r="J746" s="11">
        <v>8</v>
      </c>
      <c r="K746" s="15" t="s">
        <v>101</v>
      </c>
      <c r="L746" s="15">
        <v>9.9</v>
      </c>
      <c r="M746" s="23">
        <v>4</v>
      </c>
      <c r="N746" s="51">
        <v>1.4950000000000001</v>
      </c>
      <c r="O746" s="51">
        <v>2.9000000000000001E-2</v>
      </c>
      <c r="P746" s="51">
        <v>0.02</v>
      </c>
    </row>
    <row r="747" spans="1:16" ht="14" customHeight="1" x14ac:dyDescent="0.25">
      <c r="A747" s="156"/>
      <c r="B747" s="11">
        <v>9</v>
      </c>
      <c r="C747" s="15" t="s">
        <v>181</v>
      </c>
      <c r="D747" s="18">
        <v>1</v>
      </c>
      <c r="E747" s="18">
        <v>0.4</v>
      </c>
      <c r="F747" s="17">
        <v>1.214</v>
      </c>
      <c r="G747" s="17">
        <v>1.8241206030150801E-2</v>
      </c>
      <c r="H747" s="17">
        <v>1.2999999999999999E-2</v>
      </c>
      <c r="I747" s="15"/>
      <c r="J747" s="11">
        <v>9</v>
      </c>
      <c r="K747" s="15" t="s">
        <v>181</v>
      </c>
      <c r="L747" s="15">
        <v>5.9</v>
      </c>
      <c r="M747" s="23">
        <v>1.1000000000000001</v>
      </c>
      <c r="N747" s="51">
        <v>4.1420000000000003</v>
      </c>
      <c r="O747" s="51">
        <v>1.7000000000000001E-2</v>
      </c>
      <c r="P747" s="51">
        <v>6.0000000000000001E-3</v>
      </c>
    </row>
    <row r="748" spans="1:16" ht="14" customHeight="1" x14ac:dyDescent="0.25">
      <c r="A748" s="156"/>
      <c r="B748" s="15">
        <v>10</v>
      </c>
      <c r="C748" s="15" t="s">
        <v>104</v>
      </c>
      <c r="D748" s="18">
        <v>0.7</v>
      </c>
      <c r="E748" s="18">
        <v>0.4</v>
      </c>
      <c r="F748" s="17">
        <v>0.92100000000000004</v>
      </c>
      <c r="G748" s="17">
        <v>1.27688442211055E-2</v>
      </c>
      <c r="H748" s="17">
        <v>1.0999999999999999E-2</v>
      </c>
      <c r="I748" s="15"/>
      <c r="J748" s="15">
        <v>10</v>
      </c>
      <c r="K748" s="15" t="s">
        <v>104</v>
      </c>
      <c r="L748" s="15">
        <v>4.5</v>
      </c>
      <c r="M748" s="23">
        <v>1.8</v>
      </c>
      <c r="N748" s="51">
        <v>1.5189999999999999</v>
      </c>
      <c r="O748" s="51">
        <v>1.2999999999999999E-2</v>
      </c>
      <c r="P748" s="51">
        <v>8.9999999999999993E-3</v>
      </c>
    </row>
    <row r="749" spans="1:16" ht="14" customHeight="1" x14ac:dyDescent="0.25">
      <c r="A749" s="156"/>
      <c r="B749" s="15" t="s">
        <v>207</v>
      </c>
      <c r="C749" s="15"/>
      <c r="D749" s="18">
        <v>4.8</v>
      </c>
      <c r="E749" s="18">
        <v>3.2</v>
      </c>
      <c r="F749" s="17">
        <v>0.505</v>
      </c>
      <c r="G749" s="17">
        <v>8.7557788944723602E-2</v>
      </c>
      <c r="H749" s="17">
        <v>9.4163934426229501E-2</v>
      </c>
      <c r="I749" s="15"/>
      <c r="J749" s="15" t="s">
        <v>105</v>
      </c>
      <c r="K749" s="15"/>
      <c r="L749" s="15">
        <v>30.3</v>
      </c>
      <c r="M749" s="23">
        <v>17.100000000000001</v>
      </c>
      <c r="N749" s="51">
        <v>0.76600000000000001</v>
      </c>
      <c r="O749" s="51">
        <v>8.8999999999999996E-2</v>
      </c>
      <c r="P749" s="51">
        <v>8.7999999999999995E-2</v>
      </c>
    </row>
    <row r="750" spans="1:16" ht="14" customHeight="1" x14ac:dyDescent="0.25">
      <c r="A750" s="156"/>
      <c r="B750" s="15" t="s">
        <v>130</v>
      </c>
      <c r="C750" s="15"/>
      <c r="D750" s="18">
        <v>54.7</v>
      </c>
      <c r="E750" s="18">
        <v>33.9</v>
      </c>
      <c r="F750" s="17">
        <v>0.61199999999999999</v>
      </c>
      <c r="G750" s="17">
        <v>1</v>
      </c>
      <c r="H750" s="17">
        <v>1</v>
      </c>
      <c r="I750" s="15"/>
      <c r="J750" s="15" t="s">
        <v>130</v>
      </c>
      <c r="K750" s="15"/>
      <c r="L750" s="15">
        <v>341.3</v>
      </c>
      <c r="M750" s="23">
        <v>194.9</v>
      </c>
      <c r="N750" s="17">
        <v>0.752</v>
      </c>
      <c r="O750" s="17">
        <v>1</v>
      </c>
      <c r="P750" s="17">
        <v>1</v>
      </c>
    </row>
    <row r="751" spans="1:16" ht="14" customHeight="1" x14ac:dyDescent="0.25">
      <c r="A751" s="156"/>
      <c r="B751" s="15"/>
      <c r="C751" s="15"/>
      <c r="D751" s="15"/>
      <c r="E751" s="15"/>
      <c r="F751" s="15"/>
      <c r="G751" s="15"/>
      <c r="H751" s="15"/>
      <c r="I751" s="15"/>
      <c r="J751" s="15"/>
      <c r="K751" s="15"/>
      <c r="L751" s="15"/>
      <c r="M751" s="15"/>
      <c r="N751" s="15"/>
      <c r="O751" s="15"/>
      <c r="P751" s="15"/>
    </row>
    <row r="752" spans="1:16" ht="14" customHeight="1" x14ac:dyDescent="0.25">
      <c r="A752" s="156"/>
      <c r="B752" s="15"/>
      <c r="C752" s="15"/>
      <c r="D752" s="15"/>
      <c r="E752" s="15"/>
      <c r="F752" s="15"/>
      <c r="G752" s="15"/>
      <c r="H752" s="15"/>
      <c r="I752" s="15"/>
      <c r="J752" s="15"/>
      <c r="K752" s="15"/>
      <c r="L752" s="15"/>
      <c r="M752" s="15"/>
      <c r="N752" s="15"/>
      <c r="O752" s="15"/>
      <c r="P752" s="15"/>
    </row>
    <row r="753" spans="1:16" ht="14" customHeight="1" x14ac:dyDescent="0.25">
      <c r="A753" s="156"/>
      <c r="B753" s="15"/>
      <c r="C753" s="15"/>
      <c r="D753" s="15"/>
      <c r="E753" s="15"/>
      <c r="F753" s="15"/>
      <c r="G753" s="15"/>
      <c r="H753" s="15"/>
      <c r="I753" s="15"/>
      <c r="J753" s="15"/>
      <c r="K753" s="15"/>
      <c r="L753" s="15"/>
      <c r="M753" s="15"/>
      <c r="N753" s="15"/>
      <c r="O753" s="15"/>
      <c r="P753" s="15"/>
    </row>
    <row r="754" spans="1:16" ht="14" customHeight="1" x14ac:dyDescent="0.25">
      <c r="A754" s="156"/>
      <c r="B754" s="15"/>
      <c r="C754" s="15"/>
      <c r="D754" s="15"/>
      <c r="E754" s="15"/>
      <c r="F754" s="15"/>
      <c r="G754" s="15"/>
      <c r="H754" s="15"/>
      <c r="I754" s="15"/>
      <c r="J754" s="15"/>
      <c r="K754" s="15"/>
      <c r="L754" s="15"/>
      <c r="M754" s="15"/>
      <c r="N754" s="15"/>
      <c r="O754" s="15"/>
      <c r="P754" s="15"/>
    </row>
    <row r="755" spans="1:16" ht="14" customHeight="1" x14ac:dyDescent="0.25">
      <c r="A755" s="156"/>
      <c r="B755" s="15"/>
      <c r="C755" s="15"/>
      <c r="D755" s="15"/>
      <c r="E755" s="15"/>
      <c r="F755" s="15"/>
      <c r="G755" s="15"/>
      <c r="H755" s="15"/>
      <c r="I755" s="15"/>
      <c r="J755" s="15"/>
      <c r="K755" s="15"/>
      <c r="L755" s="15"/>
      <c r="M755" s="15"/>
      <c r="N755" s="15"/>
      <c r="O755" s="15"/>
      <c r="P755" s="15"/>
    </row>
    <row r="756" spans="1:16" ht="14" customHeight="1" x14ac:dyDescent="0.25">
      <c r="A756" s="156"/>
      <c r="B756" s="15"/>
      <c r="C756" s="15"/>
      <c r="D756" s="15"/>
      <c r="E756" s="15"/>
      <c r="F756" s="15"/>
      <c r="G756" s="15"/>
      <c r="H756" s="15"/>
      <c r="I756" s="15"/>
      <c r="J756" s="25"/>
      <c r="K756" s="15"/>
      <c r="L756" s="15"/>
      <c r="M756" s="15"/>
      <c r="N756" s="15"/>
      <c r="O756" s="15"/>
      <c r="P756" s="15"/>
    </row>
    <row r="757" spans="1:16" ht="14" customHeight="1" x14ac:dyDescent="0.25">
      <c r="A757" s="156"/>
      <c r="B757" s="11" t="s">
        <v>238</v>
      </c>
      <c r="C757" s="11"/>
      <c r="D757" s="11"/>
      <c r="E757" s="11"/>
      <c r="F757" s="11"/>
      <c r="G757" s="11"/>
      <c r="H757" s="11"/>
      <c r="I757" s="15"/>
      <c r="J757" s="11" t="s">
        <v>239</v>
      </c>
      <c r="K757" s="11"/>
      <c r="L757" s="11"/>
      <c r="M757" s="11"/>
      <c r="N757" s="11"/>
      <c r="O757" s="11"/>
      <c r="P757" s="11"/>
    </row>
    <row r="758" spans="1:16" ht="14" customHeight="1" x14ac:dyDescent="0.25">
      <c r="A758" s="156"/>
      <c r="B758" s="11" t="s">
        <v>96</v>
      </c>
      <c r="C758" s="15" t="s">
        <v>123</v>
      </c>
      <c r="D758" s="19">
        <v>44774</v>
      </c>
      <c r="E758" s="19">
        <v>44409</v>
      </c>
      <c r="F758" s="15" t="s">
        <v>34</v>
      </c>
      <c r="G758" s="15" t="s">
        <v>176</v>
      </c>
      <c r="H758" s="15" t="s">
        <v>217</v>
      </c>
      <c r="I758" s="15"/>
      <c r="J758" s="11" t="s">
        <v>96</v>
      </c>
      <c r="K758" s="15" t="s">
        <v>123</v>
      </c>
      <c r="L758" s="19" t="s">
        <v>240</v>
      </c>
      <c r="M758" s="19" t="s">
        <v>240</v>
      </c>
      <c r="N758" s="21" t="s">
        <v>34</v>
      </c>
      <c r="O758" s="21" t="s">
        <v>180</v>
      </c>
      <c r="P758" s="21" t="s">
        <v>221</v>
      </c>
    </row>
    <row r="759" spans="1:16" ht="14" customHeight="1" x14ac:dyDescent="0.25">
      <c r="A759" s="156"/>
      <c r="B759" s="11">
        <v>1</v>
      </c>
      <c r="C759" s="15" t="s">
        <v>98</v>
      </c>
      <c r="D759" s="18">
        <v>18</v>
      </c>
      <c r="E759" s="18">
        <v>7.9</v>
      </c>
      <c r="F759" s="17">
        <v>1.286</v>
      </c>
      <c r="G759" s="17">
        <v>0.39300000000000002</v>
      </c>
      <c r="H759" s="17">
        <v>0.32700000000000001</v>
      </c>
      <c r="I759" s="15"/>
      <c r="J759" s="11">
        <v>1</v>
      </c>
      <c r="K759" s="15" t="s">
        <v>98</v>
      </c>
      <c r="L759" s="15">
        <v>102.2</v>
      </c>
      <c r="M759" s="23">
        <v>47.6</v>
      </c>
      <c r="N759" s="51">
        <v>1.1470588235294099</v>
      </c>
      <c r="O759" s="51">
        <v>0.35535465924895698</v>
      </c>
      <c r="P759" s="51">
        <v>0.29583592293349897</v>
      </c>
    </row>
    <row r="760" spans="1:16" ht="14" customHeight="1" x14ac:dyDescent="0.25">
      <c r="A760" s="156"/>
      <c r="B760" s="11">
        <v>2</v>
      </c>
      <c r="C760" s="15" t="s">
        <v>99</v>
      </c>
      <c r="D760" s="18">
        <v>6.5</v>
      </c>
      <c r="E760" s="18">
        <v>2.5</v>
      </c>
      <c r="F760" s="17">
        <v>1.587</v>
      </c>
      <c r="G760" s="17">
        <v>0.14299999999999999</v>
      </c>
      <c r="H760" s="17">
        <v>0.105</v>
      </c>
      <c r="I760" s="15"/>
      <c r="J760" s="11">
        <v>2</v>
      </c>
      <c r="K760" s="15" t="s">
        <v>227</v>
      </c>
      <c r="L760" s="15">
        <v>39.4</v>
      </c>
      <c r="M760" s="23">
        <v>35.799999999999997</v>
      </c>
      <c r="N760" s="51">
        <v>0.1</v>
      </c>
      <c r="O760" s="51">
        <v>0.13699582753824799</v>
      </c>
      <c r="P760" s="51">
        <v>0.223</v>
      </c>
    </row>
    <row r="761" spans="1:16" ht="14" customHeight="1" x14ac:dyDescent="0.25">
      <c r="A761" s="156"/>
      <c r="B761" s="11">
        <v>3</v>
      </c>
      <c r="C761" s="15" t="s">
        <v>227</v>
      </c>
      <c r="D761" s="18">
        <v>5</v>
      </c>
      <c r="E761" s="18">
        <v>4.3</v>
      </c>
      <c r="F761" s="17">
        <v>0.161</v>
      </c>
      <c r="G761" s="17">
        <v>0.11</v>
      </c>
      <c r="H761" s="17">
        <v>0.18099999999999999</v>
      </c>
      <c r="I761" s="15"/>
      <c r="J761" s="11">
        <v>3</v>
      </c>
      <c r="K761" s="15" t="s">
        <v>99</v>
      </c>
      <c r="L761" s="15">
        <v>36.5</v>
      </c>
      <c r="M761" s="23">
        <v>12.5</v>
      </c>
      <c r="N761" s="51">
        <v>1.923</v>
      </c>
      <c r="O761" s="51">
        <v>0.12691237830319901</v>
      </c>
      <c r="P761" s="51">
        <v>7.7688004972032307E-2</v>
      </c>
    </row>
    <row r="762" spans="1:16" ht="14" customHeight="1" x14ac:dyDescent="0.25">
      <c r="A762" s="156"/>
      <c r="B762" s="11">
        <v>4</v>
      </c>
      <c r="C762" s="15" t="s">
        <v>102</v>
      </c>
      <c r="D762" s="18">
        <v>3.1</v>
      </c>
      <c r="E762" s="18">
        <v>2.9</v>
      </c>
      <c r="F762" s="17">
        <v>7.6999999999999999E-2</v>
      </c>
      <c r="G762" s="17">
        <v>6.7833698030634604E-2</v>
      </c>
      <c r="H762" s="17">
        <v>0.12</v>
      </c>
      <c r="I762" s="15"/>
      <c r="J762" s="11">
        <v>4</v>
      </c>
      <c r="K762" s="15" t="s">
        <v>102</v>
      </c>
      <c r="L762" s="15">
        <v>24</v>
      </c>
      <c r="M762" s="23">
        <v>22.8</v>
      </c>
      <c r="N762" s="51">
        <v>5.2631578947368397E-2</v>
      </c>
      <c r="O762" s="51">
        <v>8.3449235048678697E-2</v>
      </c>
      <c r="P762" s="51">
        <v>0.14099999999999999</v>
      </c>
    </row>
    <row r="763" spans="1:16" ht="14" customHeight="1" x14ac:dyDescent="0.25">
      <c r="A763" s="156"/>
      <c r="B763" s="11">
        <v>5</v>
      </c>
      <c r="C763" s="11" t="s">
        <v>25</v>
      </c>
      <c r="D763" s="18">
        <v>2.2000000000000002</v>
      </c>
      <c r="E763" s="18">
        <v>1.5</v>
      </c>
      <c r="F763" s="17">
        <v>0.46899999999999997</v>
      </c>
      <c r="G763" s="17">
        <v>4.9000000000000002E-2</v>
      </c>
      <c r="H763" s="17">
        <v>6.25E-2</v>
      </c>
      <c r="I763" s="15"/>
      <c r="J763" s="11">
        <v>5</v>
      </c>
      <c r="K763" s="11" t="s">
        <v>25</v>
      </c>
      <c r="L763" s="15">
        <v>18.399999999999999</v>
      </c>
      <c r="M763" s="23">
        <v>9.1999999999999993</v>
      </c>
      <c r="N763" s="51">
        <v>0.99199999999999999</v>
      </c>
      <c r="O763" s="51">
        <v>6.3977746870653704E-2</v>
      </c>
      <c r="P763" s="51">
        <v>5.7178371659415798E-2</v>
      </c>
    </row>
    <row r="764" spans="1:16" ht="14" customHeight="1" x14ac:dyDescent="0.25">
      <c r="A764" s="156"/>
      <c r="B764" s="11">
        <v>6</v>
      </c>
      <c r="C764" s="15" t="s">
        <v>173</v>
      </c>
      <c r="D764" s="18">
        <v>2.1</v>
      </c>
      <c r="E764" s="18">
        <v>1</v>
      </c>
      <c r="F764" s="17">
        <v>0.95499999999999996</v>
      </c>
      <c r="G764" s="17">
        <v>4.4999999999999998E-2</v>
      </c>
      <c r="H764" s="17">
        <v>4.3999999999999997E-2</v>
      </c>
      <c r="I764" s="15"/>
      <c r="J764" s="11">
        <v>6</v>
      </c>
      <c r="K764" s="15" t="s">
        <v>173</v>
      </c>
      <c r="L764" s="15">
        <v>14.2</v>
      </c>
      <c r="M764" s="23">
        <v>8.9</v>
      </c>
      <c r="N764" s="51">
        <v>0.59699999999999998</v>
      </c>
      <c r="O764" s="51">
        <v>4.9374130737134897E-2</v>
      </c>
      <c r="P764" s="51">
        <v>5.5313859540087003E-2</v>
      </c>
    </row>
    <row r="765" spans="1:16" ht="14" customHeight="1" x14ac:dyDescent="0.25">
      <c r="A765" s="156"/>
      <c r="B765" s="11">
        <v>7</v>
      </c>
      <c r="C765" s="15" t="s">
        <v>228</v>
      </c>
      <c r="D765" s="18">
        <v>1.9</v>
      </c>
      <c r="E765" s="18">
        <v>0.7</v>
      </c>
      <c r="F765" s="17">
        <v>1.5669999999999999</v>
      </c>
      <c r="G765" s="17">
        <v>4.1575492341356698E-2</v>
      </c>
      <c r="H765" s="17">
        <v>3.1E-2</v>
      </c>
      <c r="I765" s="15"/>
      <c r="J765" s="11">
        <v>7</v>
      </c>
      <c r="K765" s="15" t="s">
        <v>228</v>
      </c>
      <c r="L765" s="15">
        <v>11.6</v>
      </c>
      <c r="M765" s="23">
        <v>4.8</v>
      </c>
      <c r="N765" s="51">
        <v>1.4119999999999999</v>
      </c>
      <c r="O765" s="51">
        <v>4.0333796940194698E-2</v>
      </c>
      <c r="P765" s="51">
        <v>2.98321939092604E-2</v>
      </c>
    </row>
    <row r="766" spans="1:16" ht="14" customHeight="1" x14ac:dyDescent="0.25">
      <c r="A766" s="156"/>
      <c r="B766" s="11">
        <v>8</v>
      </c>
      <c r="C766" s="15" t="s">
        <v>101</v>
      </c>
      <c r="D766" s="18">
        <v>1.4</v>
      </c>
      <c r="E766" s="18">
        <v>0.7</v>
      </c>
      <c r="F766" s="17">
        <v>1.1200000000000001</v>
      </c>
      <c r="G766" s="17">
        <v>0.03</v>
      </c>
      <c r="H766" s="17">
        <v>2.7E-2</v>
      </c>
      <c r="I766" s="15"/>
      <c r="J766" s="11">
        <v>8</v>
      </c>
      <c r="K766" s="15" t="s">
        <v>101</v>
      </c>
      <c r="L766" s="15">
        <v>8.4</v>
      </c>
      <c r="M766" s="23">
        <v>3.3</v>
      </c>
      <c r="N766" s="51">
        <v>1.536</v>
      </c>
      <c r="O766" s="51">
        <v>2.92072322670376E-2</v>
      </c>
      <c r="P766" s="51">
        <v>2.0509633312616501E-2</v>
      </c>
    </row>
    <row r="767" spans="1:16" ht="14" customHeight="1" x14ac:dyDescent="0.25">
      <c r="A767" s="156"/>
      <c r="B767" s="11">
        <v>9</v>
      </c>
      <c r="C767" s="15" t="s">
        <v>181</v>
      </c>
      <c r="D767" s="18">
        <v>0.9</v>
      </c>
      <c r="E767" s="18">
        <v>0.2</v>
      </c>
      <c r="F767" s="17">
        <v>4.1369999999999996</v>
      </c>
      <c r="G767" s="17">
        <v>1.9E-2</v>
      </c>
      <c r="H767" s="17">
        <v>7.0000000000000001E-3</v>
      </c>
      <c r="I767" s="15"/>
      <c r="J767" s="11">
        <v>9</v>
      </c>
      <c r="K767" s="15" t="s">
        <v>181</v>
      </c>
      <c r="L767" s="15">
        <v>4.9000000000000004</v>
      </c>
      <c r="M767" s="23">
        <v>0.7</v>
      </c>
      <c r="N767" s="51">
        <v>5.875</v>
      </c>
      <c r="O767" s="51">
        <v>1.70375521557719E-2</v>
      </c>
      <c r="P767" s="51">
        <v>4.3505282784338101E-3</v>
      </c>
    </row>
    <row r="768" spans="1:16" ht="14" customHeight="1" x14ac:dyDescent="0.25">
      <c r="A768" s="156"/>
      <c r="B768" s="15">
        <v>10</v>
      </c>
      <c r="C768" s="15" t="s">
        <v>104</v>
      </c>
      <c r="D768" s="18">
        <v>0.6</v>
      </c>
      <c r="E768" s="18">
        <v>0.3</v>
      </c>
      <c r="F768" s="17">
        <v>1.149</v>
      </c>
      <c r="G768" s="17">
        <v>1.3129102844638901E-2</v>
      </c>
      <c r="H768" s="17">
        <v>1.2E-2</v>
      </c>
      <c r="I768" s="15"/>
      <c r="J768" s="15">
        <v>10</v>
      </c>
      <c r="K768" s="15" t="s">
        <v>104</v>
      </c>
      <c r="L768" s="15">
        <v>3.9</v>
      </c>
      <c r="M768" s="23">
        <v>1.5</v>
      </c>
      <c r="N768" s="51">
        <v>1.5549999999999999</v>
      </c>
      <c r="O768" s="51">
        <v>1.35605006954103E-2</v>
      </c>
      <c r="P768" s="51">
        <v>9.3225605966438807E-3</v>
      </c>
    </row>
    <row r="769" spans="1:16" ht="14" customHeight="1" x14ac:dyDescent="0.25">
      <c r="A769" s="156"/>
      <c r="B769" s="15" t="s">
        <v>207</v>
      </c>
      <c r="C769" s="15"/>
      <c r="D769" s="18">
        <v>4.0999999999999996</v>
      </c>
      <c r="E769" s="18">
        <v>2</v>
      </c>
      <c r="F769" s="17">
        <v>1.0189999999999999</v>
      </c>
      <c r="G769" s="17">
        <v>8.8999999999999996E-2</v>
      </c>
      <c r="H769" s="17">
        <v>8.4000000000000005E-2</v>
      </c>
      <c r="I769" s="15"/>
      <c r="J769" s="15" t="s">
        <v>105</v>
      </c>
      <c r="K769" s="15"/>
      <c r="L769" s="15">
        <v>24.3</v>
      </c>
      <c r="M769" s="23">
        <v>13.9</v>
      </c>
      <c r="N769" s="51">
        <v>0.754</v>
      </c>
      <c r="O769" s="51">
        <v>8.4492350486787202E-2</v>
      </c>
      <c r="P769" s="51">
        <v>8.6389061528899899E-2</v>
      </c>
    </row>
    <row r="770" spans="1:16" ht="14" customHeight="1" x14ac:dyDescent="0.25">
      <c r="A770" s="156"/>
      <c r="B770" s="15" t="s">
        <v>130</v>
      </c>
      <c r="C770" s="15"/>
      <c r="D770" s="18">
        <v>45.7</v>
      </c>
      <c r="E770" s="18">
        <v>24</v>
      </c>
      <c r="F770" s="17">
        <v>0.90300000000000002</v>
      </c>
      <c r="G770" s="17">
        <v>1</v>
      </c>
      <c r="H770" s="17">
        <v>1</v>
      </c>
      <c r="I770" s="15"/>
      <c r="J770" s="15" t="s">
        <v>130</v>
      </c>
      <c r="K770" s="15"/>
      <c r="L770" s="15">
        <v>287.60000000000002</v>
      </c>
      <c r="M770" s="23">
        <v>160.9</v>
      </c>
      <c r="N770" s="17">
        <v>0.78744561839652005</v>
      </c>
      <c r="O770" s="17">
        <v>1</v>
      </c>
      <c r="P770" s="17">
        <v>1</v>
      </c>
    </row>
    <row r="771" spans="1:16" ht="14" customHeight="1" x14ac:dyDescent="0.25">
      <c r="A771" s="156"/>
      <c r="B771" s="15"/>
      <c r="C771" s="15"/>
      <c r="D771" s="15"/>
      <c r="E771" s="15"/>
      <c r="F771" s="15"/>
      <c r="G771" s="15"/>
      <c r="H771" s="15"/>
      <c r="I771" s="15"/>
      <c r="J771" s="15"/>
      <c r="K771" s="15"/>
      <c r="L771" s="15"/>
      <c r="M771" s="15"/>
      <c r="N771" s="15"/>
      <c r="O771" s="15"/>
      <c r="P771" s="15"/>
    </row>
    <row r="772" spans="1:16" ht="14" customHeight="1" x14ac:dyDescent="0.25">
      <c r="A772" s="156"/>
      <c r="B772" s="15"/>
      <c r="C772" s="15"/>
      <c r="D772" s="15"/>
      <c r="E772" s="15"/>
      <c r="F772" s="15"/>
      <c r="G772" s="15"/>
      <c r="H772" s="15"/>
      <c r="I772" s="15"/>
      <c r="J772" s="15"/>
      <c r="K772" s="15"/>
      <c r="L772" s="15"/>
      <c r="M772" s="15"/>
      <c r="N772" s="15"/>
      <c r="O772" s="15"/>
      <c r="P772" s="15"/>
    </row>
    <row r="773" spans="1:16" ht="14" customHeight="1" x14ac:dyDescent="0.25">
      <c r="A773" s="156"/>
      <c r="B773" s="15"/>
      <c r="C773" s="15"/>
      <c r="D773" s="15"/>
      <c r="E773" s="15"/>
      <c r="F773" s="15"/>
      <c r="G773" s="15"/>
      <c r="H773" s="15"/>
      <c r="I773" s="15"/>
      <c r="J773" s="25"/>
      <c r="K773" s="15"/>
      <c r="L773" s="15"/>
      <c r="M773" s="15"/>
      <c r="N773" s="15"/>
      <c r="O773" s="15"/>
      <c r="P773" s="15"/>
    </row>
    <row r="774" spans="1:16" ht="14" customHeight="1" x14ac:dyDescent="0.25">
      <c r="A774" s="156"/>
      <c r="B774" s="11" t="s">
        <v>241</v>
      </c>
      <c r="C774" s="11"/>
      <c r="D774" s="11"/>
      <c r="E774" s="11"/>
      <c r="F774" s="11"/>
      <c r="G774" s="11"/>
      <c r="H774" s="11"/>
      <c r="I774" s="15"/>
      <c r="J774" s="11" t="s">
        <v>242</v>
      </c>
      <c r="K774" s="11"/>
      <c r="L774" s="11"/>
      <c r="M774" s="11"/>
      <c r="N774" s="11"/>
      <c r="O774" s="11"/>
      <c r="P774" s="11"/>
    </row>
    <row r="775" spans="1:16" ht="14" customHeight="1" x14ac:dyDescent="0.25">
      <c r="A775" s="156"/>
      <c r="B775" s="11" t="s">
        <v>96</v>
      </c>
      <c r="C775" s="15" t="s">
        <v>123</v>
      </c>
      <c r="D775" s="19">
        <v>44743</v>
      </c>
      <c r="E775" s="19">
        <v>44378</v>
      </c>
      <c r="F775" s="15" t="s">
        <v>34</v>
      </c>
      <c r="G775" s="15" t="s">
        <v>176</v>
      </c>
      <c r="H775" s="15" t="s">
        <v>217</v>
      </c>
      <c r="I775" s="15"/>
      <c r="J775" s="11" t="s">
        <v>96</v>
      </c>
      <c r="K775" s="15" t="s">
        <v>123</v>
      </c>
      <c r="L775" s="19" t="s">
        <v>243</v>
      </c>
      <c r="M775" s="19" t="s">
        <v>243</v>
      </c>
      <c r="N775" s="21" t="s">
        <v>34</v>
      </c>
      <c r="O775" s="21" t="s">
        <v>180</v>
      </c>
      <c r="P775" s="21" t="s">
        <v>221</v>
      </c>
    </row>
    <row r="776" spans="1:16" ht="14" customHeight="1" x14ac:dyDescent="0.25">
      <c r="A776" s="156"/>
      <c r="B776" s="11">
        <v>1</v>
      </c>
      <c r="C776" s="15" t="s">
        <v>98</v>
      </c>
      <c r="D776" s="15">
        <v>13.3</v>
      </c>
      <c r="E776" s="18">
        <v>6.8</v>
      </c>
      <c r="F776" s="17">
        <v>0.94799999999999995</v>
      </c>
      <c r="G776" s="17">
        <v>0.33501259445843801</v>
      </c>
      <c r="H776" s="17">
        <v>0.314</v>
      </c>
      <c r="I776" s="15"/>
      <c r="J776" s="11">
        <v>1</v>
      </c>
      <c r="K776" s="15" t="s">
        <v>98</v>
      </c>
      <c r="L776" s="15">
        <v>83.6</v>
      </c>
      <c r="M776" s="23">
        <v>39.700000000000003</v>
      </c>
      <c r="N776" s="51">
        <v>1.1060000000000001</v>
      </c>
      <c r="O776" s="51">
        <v>0.34717607973421899</v>
      </c>
      <c r="P776" s="51">
        <v>0.29020467836257302</v>
      </c>
    </row>
    <row r="777" spans="1:16" ht="14" customHeight="1" x14ac:dyDescent="0.25">
      <c r="A777" s="156"/>
      <c r="B777" s="11">
        <v>2</v>
      </c>
      <c r="C777" s="15" t="s">
        <v>99</v>
      </c>
      <c r="D777" s="15">
        <v>6.4</v>
      </c>
      <c r="E777" s="18">
        <v>2.1</v>
      </c>
      <c r="F777" s="17">
        <v>2.056</v>
      </c>
      <c r="G777" s="17">
        <v>0.16200000000000001</v>
      </c>
      <c r="H777" s="17">
        <v>9.7000000000000003E-2</v>
      </c>
      <c r="I777" s="15"/>
      <c r="J777" s="11">
        <v>2</v>
      </c>
      <c r="K777" s="15" t="s">
        <v>227</v>
      </c>
      <c r="L777" s="15">
        <v>34.299999999999997</v>
      </c>
      <c r="M777" s="23">
        <v>31.5</v>
      </c>
      <c r="N777" s="51">
        <v>0.09</v>
      </c>
      <c r="O777" s="51">
        <v>0.142441860465116</v>
      </c>
      <c r="P777" s="51">
        <v>0.230263157894737</v>
      </c>
    </row>
    <row r="778" spans="1:16" ht="14" customHeight="1" x14ac:dyDescent="0.25">
      <c r="A778" s="156"/>
      <c r="B778" s="11">
        <v>3</v>
      </c>
      <c r="C778" s="15" t="s">
        <v>227</v>
      </c>
      <c r="D778" s="15">
        <v>4.4000000000000004</v>
      </c>
      <c r="E778" s="18">
        <v>4.0999999999999996</v>
      </c>
      <c r="F778" s="17">
        <v>5.8999999999999997E-2</v>
      </c>
      <c r="G778" s="17">
        <v>0.11</v>
      </c>
      <c r="H778" s="17">
        <v>0.19</v>
      </c>
      <c r="I778" s="15"/>
      <c r="J778" s="11">
        <v>3</v>
      </c>
      <c r="K778" s="15" t="s">
        <v>99</v>
      </c>
      <c r="L778" s="15">
        <v>30.3</v>
      </c>
      <c r="M778" s="23">
        <v>10</v>
      </c>
      <c r="N778" s="51">
        <v>2.0470000000000002</v>
      </c>
      <c r="O778" s="51">
        <v>0.125830564784053</v>
      </c>
      <c r="P778" s="51">
        <v>7.30994152046784E-2</v>
      </c>
    </row>
    <row r="779" spans="1:16" ht="14" customHeight="1" x14ac:dyDescent="0.25">
      <c r="A779" s="156"/>
      <c r="B779" s="11">
        <v>4</v>
      </c>
      <c r="C779" s="15" t="s">
        <v>102</v>
      </c>
      <c r="D779" s="15">
        <v>2.9</v>
      </c>
      <c r="E779" s="18">
        <v>2.6</v>
      </c>
      <c r="F779" s="17">
        <v>0.109</v>
      </c>
      <c r="G779" s="17">
        <v>7.1999999999999995E-2</v>
      </c>
      <c r="H779" s="17">
        <v>1.18</v>
      </c>
      <c r="I779" s="15"/>
      <c r="J779" s="11">
        <v>4</v>
      </c>
      <c r="K779" s="15" t="s">
        <v>102</v>
      </c>
      <c r="L779" s="15">
        <v>20.8</v>
      </c>
      <c r="M779" s="23">
        <v>19.899999999999999</v>
      </c>
      <c r="N779" s="51">
        <v>4.9000000000000002E-2</v>
      </c>
      <c r="O779" s="51">
        <v>8.6378737541528194E-2</v>
      </c>
      <c r="P779" s="51">
        <v>0.14546783625731</v>
      </c>
    </row>
    <row r="780" spans="1:16" ht="14" customHeight="1" x14ac:dyDescent="0.25">
      <c r="A780" s="156"/>
      <c r="B780" s="11">
        <v>5</v>
      </c>
      <c r="C780" s="11" t="s">
        <v>25</v>
      </c>
      <c r="D780" s="15">
        <v>2.4</v>
      </c>
      <c r="E780" s="18">
        <v>1.4</v>
      </c>
      <c r="F780" s="17">
        <v>0.66600000000000004</v>
      </c>
      <c r="G780" s="17">
        <v>6.0453400503778301E-2</v>
      </c>
      <c r="H780" s="17">
        <v>6.6000000000000003E-2</v>
      </c>
      <c r="I780" s="15"/>
      <c r="J780" s="11">
        <v>5</v>
      </c>
      <c r="K780" s="11" t="s">
        <v>25</v>
      </c>
      <c r="L780" s="15">
        <v>15.8</v>
      </c>
      <c r="M780" s="23">
        <v>7.6</v>
      </c>
      <c r="N780" s="51">
        <v>1.0780000000000001</v>
      </c>
      <c r="O780" s="51">
        <v>6.5614617940199293E-2</v>
      </c>
      <c r="P780" s="51">
        <v>5.5555555555555497E-2</v>
      </c>
    </row>
    <row r="781" spans="1:16" ht="14" customHeight="1" x14ac:dyDescent="0.25">
      <c r="A781" s="156"/>
      <c r="B781" s="11">
        <v>6</v>
      </c>
      <c r="C781" s="15" t="s">
        <v>228</v>
      </c>
      <c r="D781" s="15">
        <v>2.1</v>
      </c>
      <c r="E781" s="18">
        <v>0.7</v>
      </c>
      <c r="F781" s="17">
        <v>1.855</v>
      </c>
      <c r="G781" s="17">
        <v>5.3999999999999999E-2</v>
      </c>
      <c r="H781" s="17">
        <v>3.4000000000000002E-2</v>
      </c>
      <c r="I781" s="15"/>
      <c r="J781" s="11">
        <v>6</v>
      </c>
      <c r="K781" s="15" t="s">
        <v>173</v>
      </c>
      <c r="L781" s="15">
        <v>12.2</v>
      </c>
      <c r="M781" s="23">
        <v>7.8</v>
      </c>
      <c r="N781" s="51">
        <v>0.56299999999999994</v>
      </c>
      <c r="O781" s="51">
        <v>5.0664451827242503E-2</v>
      </c>
      <c r="P781" s="51">
        <v>5.7017543859649099E-2</v>
      </c>
    </row>
    <row r="782" spans="1:16" ht="14" customHeight="1" x14ac:dyDescent="0.25">
      <c r="A782" s="156"/>
      <c r="B782" s="11">
        <v>7</v>
      </c>
      <c r="C782" s="15" t="s">
        <v>39</v>
      </c>
      <c r="D782" s="15">
        <v>2</v>
      </c>
      <c r="E782" s="18">
        <v>1.2</v>
      </c>
      <c r="F782" s="17">
        <v>0.66300000000000003</v>
      </c>
      <c r="G782" s="17">
        <v>4.9000000000000002E-2</v>
      </c>
      <c r="H782" s="17">
        <v>5.3999999999999999E-2</v>
      </c>
      <c r="I782" s="15"/>
      <c r="J782" s="11">
        <v>7</v>
      </c>
      <c r="K782" s="15" t="s">
        <v>228</v>
      </c>
      <c r="L782" s="15">
        <v>10</v>
      </c>
      <c r="M782" s="23">
        <v>4.0999999999999996</v>
      </c>
      <c r="N782" s="51">
        <v>1.468</v>
      </c>
      <c r="O782" s="51">
        <v>4.1528239202657802E-2</v>
      </c>
      <c r="P782" s="51">
        <v>2.9970760233918099E-2</v>
      </c>
    </row>
    <row r="783" spans="1:16" ht="14" customHeight="1" x14ac:dyDescent="0.25">
      <c r="A783" s="156"/>
      <c r="B783" s="11">
        <v>8</v>
      </c>
      <c r="C783" s="15" t="s">
        <v>101</v>
      </c>
      <c r="D783" s="15">
        <v>1.5</v>
      </c>
      <c r="E783" s="18">
        <v>0.5</v>
      </c>
      <c r="F783" s="17">
        <v>2.1469999999999998</v>
      </c>
      <c r="G783" s="17">
        <v>3.7783375314861499E-2</v>
      </c>
      <c r="H783" s="17">
        <v>2.1999999999999999E-2</v>
      </c>
      <c r="I783" s="15"/>
      <c r="J783" s="11">
        <v>8</v>
      </c>
      <c r="K783" s="15" t="s">
        <v>101</v>
      </c>
      <c r="L783" s="15">
        <v>7</v>
      </c>
      <c r="M783" s="23">
        <v>2.7</v>
      </c>
      <c r="N783" s="51">
        <v>1.6339999999999999</v>
      </c>
      <c r="O783" s="51">
        <v>2.9069767441860499E-2</v>
      </c>
      <c r="P783" s="51">
        <v>1.9736842105263198E-2</v>
      </c>
    </row>
    <row r="784" spans="1:16" ht="14" customHeight="1" x14ac:dyDescent="0.25">
      <c r="A784" s="156"/>
      <c r="B784" s="11">
        <v>9</v>
      </c>
      <c r="C784" s="15" t="s">
        <v>181</v>
      </c>
      <c r="D784" s="15">
        <v>0.8</v>
      </c>
      <c r="E784" s="18">
        <v>0.1</v>
      </c>
      <c r="F784" s="17">
        <v>5.3209999999999997</v>
      </c>
      <c r="G784" s="17">
        <v>2.1000000000000001E-2</v>
      </c>
      <c r="H784" s="17">
        <v>6.0000000000000001E-3</v>
      </c>
      <c r="I784" s="15"/>
      <c r="J784" s="11">
        <v>9</v>
      </c>
      <c r="K784" s="15" t="s">
        <v>181</v>
      </c>
      <c r="L784" s="15">
        <v>3.9</v>
      </c>
      <c r="M784" s="23">
        <v>0.5</v>
      </c>
      <c r="N784" s="51">
        <v>6.3109999999999999</v>
      </c>
      <c r="O784" s="51">
        <v>1.6196013289036498E-2</v>
      </c>
      <c r="P784" s="51">
        <v>3.6549707602339201E-3</v>
      </c>
    </row>
    <row r="785" spans="1:16" ht="14" customHeight="1" x14ac:dyDescent="0.25">
      <c r="A785" s="156"/>
      <c r="B785" s="15">
        <v>10</v>
      </c>
      <c r="C785" s="15" t="s">
        <v>104</v>
      </c>
      <c r="D785" s="15">
        <v>0.6</v>
      </c>
      <c r="E785" s="18">
        <v>0.2</v>
      </c>
      <c r="F785" s="17">
        <v>2.1859999999999999</v>
      </c>
      <c r="G785" s="17">
        <v>1.4E-2</v>
      </c>
      <c r="H785" s="17">
        <v>8.0000000000000002E-3</v>
      </c>
      <c r="I785" s="15"/>
      <c r="J785" s="15">
        <v>10</v>
      </c>
      <c r="K785" s="15" t="s">
        <v>104</v>
      </c>
      <c r="L785" s="15">
        <v>3.2</v>
      </c>
      <c r="M785" s="23">
        <v>1.2</v>
      </c>
      <c r="N785" s="51">
        <v>1.59</v>
      </c>
      <c r="O785" s="51">
        <v>1.32890365448505E-2</v>
      </c>
      <c r="P785" s="51">
        <v>8.7719298245613996E-3</v>
      </c>
    </row>
    <row r="786" spans="1:16" ht="14" customHeight="1" x14ac:dyDescent="0.25">
      <c r="A786" s="156"/>
      <c r="B786" s="15" t="s">
        <v>207</v>
      </c>
      <c r="C786" s="15"/>
      <c r="D786" s="15">
        <v>3.4</v>
      </c>
      <c r="E786" s="18">
        <v>2</v>
      </c>
      <c r="F786" s="17">
        <v>0.71</v>
      </c>
      <c r="G786" s="17">
        <v>8.5000000000000006E-2</v>
      </c>
      <c r="H786" s="17">
        <v>9.0999999999999998E-2</v>
      </c>
      <c r="I786" s="15"/>
      <c r="J786" s="15" t="s">
        <v>105</v>
      </c>
      <c r="K786" s="15"/>
      <c r="L786" s="15">
        <v>19.600000000000001</v>
      </c>
      <c r="M786" s="23">
        <v>12</v>
      </c>
      <c r="N786" s="51">
        <v>0.64400000000000002</v>
      </c>
      <c r="O786" s="51">
        <v>8.1395348837209294E-2</v>
      </c>
      <c r="P786" s="51">
        <v>8.7719298245614002E-2</v>
      </c>
    </row>
    <row r="787" spans="1:16" ht="14" customHeight="1" x14ac:dyDescent="0.25">
      <c r="A787" s="156"/>
      <c r="B787" s="15" t="s">
        <v>130</v>
      </c>
      <c r="C787" s="15"/>
      <c r="D787" s="15">
        <v>39.700000000000003</v>
      </c>
      <c r="E787" s="18">
        <v>21.8</v>
      </c>
      <c r="F787" s="17">
        <v>0.82599999999999996</v>
      </c>
      <c r="G787" s="17">
        <v>1</v>
      </c>
      <c r="H787" s="17">
        <v>1</v>
      </c>
      <c r="I787" s="15"/>
      <c r="J787" s="15" t="s">
        <v>130</v>
      </c>
      <c r="K787" s="15"/>
      <c r="L787" s="15">
        <v>240.8</v>
      </c>
      <c r="M787" s="23">
        <v>136.80000000000001</v>
      </c>
      <c r="N787" s="17">
        <v>0.76</v>
      </c>
      <c r="O787" s="17">
        <v>1</v>
      </c>
      <c r="P787" s="17">
        <v>1</v>
      </c>
    </row>
    <row r="788" spans="1:16" ht="14" customHeight="1" x14ac:dyDescent="0.25">
      <c r="A788" s="156"/>
      <c r="B788" s="15"/>
      <c r="C788" s="15"/>
      <c r="D788" s="15"/>
      <c r="E788" s="15"/>
      <c r="F788" s="15"/>
      <c r="G788" s="15"/>
      <c r="H788" s="15"/>
      <c r="I788" s="15"/>
      <c r="J788" s="25"/>
      <c r="K788" s="15"/>
      <c r="L788" s="15"/>
      <c r="M788" s="15"/>
      <c r="N788" s="15"/>
      <c r="O788" s="15"/>
      <c r="P788" s="15"/>
    </row>
    <row r="789" spans="1:16" ht="14" customHeight="1" x14ac:dyDescent="0.25">
      <c r="A789" s="156"/>
      <c r="B789" s="11" t="s">
        <v>244</v>
      </c>
      <c r="C789" s="11"/>
      <c r="D789" s="11"/>
      <c r="E789" s="11"/>
      <c r="F789" s="11"/>
      <c r="G789" s="11"/>
      <c r="H789" s="11"/>
      <c r="I789" s="15"/>
      <c r="J789" s="11" t="s">
        <v>245</v>
      </c>
      <c r="K789" s="11"/>
      <c r="L789" s="11"/>
      <c r="M789" s="11"/>
      <c r="N789" s="11"/>
      <c r="O789" s="11"/>
      <c r="P789" s="11"/>
    </row>
    <row r="790" spans="1:16" ht="14" customHeight="1" x14ac:dyDescent="0.25">
      <c r="A790" s="156"/>
      <c r="B790" s="11" t="s">
        <v>96</v>
      </c>
      <c r="C790" s="15" t="s">
        <v>123</v>
      </c>
      <c r="D790" s="19">
        <v>44713</v>
      </c>
      <c r="E790" s="19">
        <v>44348</v>
      </c>
      <c r="F790" s="15" t="s">
        <v>34</v>
      </c>
      <c r="G790" s="15" t="s">
        <v>176</v>
      </c>
      <c r="H790" s="15" t="s">
        <v>217</v>
      </c>
      <c r="I790" s="15"/>
      <c r="J790" s="11" t="s">
        <v>96</v>
      </c>
      <c r="K790" s="15" t="s">
        <v>123</v>
      </c>
      <c r="L790" s="19" t="s">
        <v>40</v>
      </c>
      <c r="M790" s="19" t="s">
        <v>41</v>
      </c>
      <c r="N790" s="21" t="s">
        <v>34</v>
      </c>
      <c r="O790" s="21" t="s">
        <v>180</v>
      </c>
      <c r="P790" s="21" t="s">
        <v>221</v>
      </c>
    </row>
    <row r="791" spans="1:16" ht="14" customHeight="1" x14ac:dyDescent="0.25">
      <c r="A791" s="156"/>
      <c r="B791" s="11">
        <v>1</v>
      </c>
      <c r="C791" s="15" t="s">
        <v>98</v>
      </c>
      <c r="D791" s="15">
        <v>16.3</v>
      </c>
      <c r="E791" s="18">
        <v>7.74346793349169</v>
      </c>
      <c r="F791" s="17">
        <v>1.105</v>
      </c>
      <c r="G791" s="17">
        <v>0.36</v>
      </c>
      <c r="H791" s="17">
        <v>0.29399999999999998</v>
      </c>
      <c r="I791" s="15"/>
      <c r="J791" s="11">
        <v>1</v>
      </c>
      <c r="K791" s="15" t="s">
        <v>98</v>
      </c>
      <c r="L791" s="15">
        <v>70.900000000000006</v>
      </c>
      <c r="M791" s="23">
        <v>32.9</v>
      </c>
      <c r="N791" s="51">
        <v>1.1559999999999999</v>
      </c>
      <c r="O791" s="51">
        <v>0.34799999999999998</v>
      </c>
      <c r="P791" s="51">
        <v>0.28599999999999998</v>
      </c>
    </row>
    <row r="792" spans="1:16" ht="14" customHeight="1" x14ac:dyDescent="0.25">
      <c r="A792" s="156"/>
      <c r="B792" s="11">
        <v>2</v>
      </c>
      <c r="C792" s="15" t="s">
        <v>227</v>
      </c>
      <c r="D792" s="15">
        <v>7.2</v>
      </c>
      <c r="E792" s="18">
        <v>6.3829787234042596</v>
      </c>
      <c r="F792" s="17">
        <v>0.128</v>
      </c>
      <c r="G792" s="17">
        <v>0.16</v>
      </c>
      <c r="H792" s="17">
        <v>0.24299999999999999</v>
      </c>
      <c r="I792" s="15"/>
      <c r="J792" s="11">
        <v>2</v>
      </c>
      <c r="K792" s="15" t="s">
        <v>227</v>
      </c>
      <c r="L792" s="15">
        <v>29.2</v>
      </c>
      <c r="M792" s="23">
        <v>27.3</v>
      </c>
      <c r="N792" s="51">
        <v>6.9000000000000006E-2</v>
      </c>
      <c r="O792" s="51">
        <v>0.14399999999999999</v>
      </c>
      <c r="P792" s="51">
        <v>0.23799999999999999</v>
      </c>
    </row>
    <row r="793" spans="1:16" ht="14" customHeight="1" x14ac:dyDescent="0.25">
      <c r="A793" s="156"/>
      <c r="B793" s="11">
        <v>3</v>
      </c>
      <c r="C793" s="15" t="s">
        <v>99</v>
      </c>
      <c r="D793" s="15">
        <v>5.0999999999999996</v>
      </c>
      <c r="E793" s="18">
        <v>1.7441860465116299</v>
      </c>
      <c r="F793" s="17">
        <v>1.9239999999999999</v>
      </c>
      <c r="G793" s="17">
        <v>0.112</v>
      </c>
      <c r="H793" s="17">
        <v>6.6000000000000003E-2</v>
      </c>
      <c r="I793" s="15"/>
      <c r="J793" s="11">
        <v>3</v>
      </c>
      <c r="K793" s="15" t="s">
        <v>99</v>
      </c>
      <c r="L793" s="15">
        <v>24</v>
      </c>
      <c r="M793" s="23">
        <v>7.9</v>
      </c>
      <c r="N793" s="51">
        <v>2.0619999999999998</v>
      </c>
      <c r="O793" s="51">
        <v>0.11799999999999999</v>
      </c>
      <c r="P793" s="51">
        <v>6.8000000000000005E-2</v>
      </c>
    </row>
    <row r="794" spans="1:16" ht="14" customHeight="1" x14ac:dyDescent="0.25">
      <c r="A794" s="156"/>
      <c r="B794" s="11">
        <v>4</v>
      </c>
      <c r="C794" s="15" t="s">
        <v>102</v>
      </c>
      <c r="D794" s="15">
        <v>3.4</v>
      </c>
      <c r="E794" s="18">
        <v>3.9580908032596001</v>
      </c>
      <c r="F794" s="17">
        <v>-0.14099999999999999</v>
      </c>
      <c r="G794" s="17">
        <v>7.5999999999999998E-2</v>
      </c>
      <c r="H794" s="17">
        <v>0.152</v>
      </c>
      <c r="I794" s="15"/>
      <c r="J794" s="11">
        <v>4</v>
      </c>
      <c r="K794" s="15" t="s">
        <v>102</v>
      </c>
      <c r="L794" s="15">
        <v>19.5</v>
      </c>
      <c r="M794" s="23">
        <v>17.3</v>
      </c>
      <c r="N794" s="51">
        <v>0.125</v>
      </c>
      <c r="O794" s="51">
        <v>9.6000000000000002E-2</v>
      </c>
      <c r="P794" s="51">
        <v>0.15</v>
      </c>
    </row>
    <row r="795" spans="1:16" ht="14" customHeight="1" x14ac:dyDescent="0.25">
      <c r="A795" s="156"/>
      <c r="B795" s="11">
        <v>5</v>
      </c>
      <c r="C795" s="11" t="s">
        <v>25</v>
      </c>
      <c r="D795" s="15">
        <v>2.4</v>
      </c>
      <c r="E795" s="18">
        <v>1.4981273408239699</v>
      </c>
      <c r="F795" s="17">
        <v>0.60199999999999998</v>
      </c>
      <c r="G795" s="17">
        <v>5.2999999999999999E-2</v>
      </c>
      <c r="H795" s="17">
        <v>5.7000000000000002E-2</v>
      </c>
      <c r="I795" s="15"/>
      <c r="J795" s="11">
        <v>5</v>
      </c>
      <c r="K795" s="11" t="s">
        <v>25</v>
      </c>
      <c r="L795" s="15">
        <v>13.2</v>
      </c>
      <c r="M795" s="23">
        <v>6.2</v>
      </c>
      <c r="N795" s="51">
        <v>1.1439999999999999</v>
      </c>
      <c r="O795" s="51">
        <v>6.5000000000000002E-2</v>
      </c>
      <c r="P795" s="51">
        <v>5.2999999999999999E-2</v>
      </c>
    </row>
    <row r="796" spans="1:16" ht="14" customHeight="1" x14ac:dyDescent="0.25">
      <c r="A796" s="156"/>
      <c r="B796" s="11">
        <v>6</v>
      </c>
      <c r="C796" s="15" t="s">
        <v>173</v>
      </c>
      <c r="D796" s="15">
        <v>2.2000000000000002</v>
      </c>
      <c r="E796" s="18">
        <v>1.4221073044602499</v>
      </c>
      <c r="F796" s="17">
        <v>0.54700000000000004</v>
      </c>
      <c r="G796" s="17">
        <v>4.8000000000000001E-2</v>
      </c>
      <c r="H796" s="17">
        <v>5.2999999999999999E-2</v>
      </c>
      <c r="I796" s="15"/>
      <c r="J796" s="11">
        <v>6</v>
      </c>
      <c r="K796" s="15" t="s">
        <v>173</v>
      </c>
      <c r="L796" s="15">
        <v>10</v>
      </c>
      <c r="M796" s="23">
        <v>6.6</v>
      </c>
      <c r="N796" s="51">
        <v>0.50600000000000001</v>
      </c>
      <c r="O796" s="51">
        <v>4.9000000000000002E-2</v>
      </c>
      <c r="P796" s="51">
        <v>5.8000000000000003E-2</v>
      </c>
    </row>
    <row r="797" spans="1:16" ht="14" customHeight="1" x14ac:dyDescent="0.25">
      <c r="A797" s="156"/>
      <c r="B797" s="11">
        <v>7</v>
      </c>
      <c r="C797" s="15" t="s">
        <v>101</v>
      </c>
      <c r="D797" s="15">
        <v>1.7</v>
      </c>
      <c r="E797" s="18">
        <v>0.48878665899942503</v>
      </c>
      <c r="F797" s="17">
        <v>2.4780000000000002</v>
      </c>
      <c r="G797" s="17">
        <v>3.6999999999999998E-2</v>
      </c>
      <c r="H797" s="17">
        <v>1.7999999999999999E-2</v>
      </c>
      <c r="I797" s="15"/>
      <c r="J797" s="11">
        <v>7</v>
      </c>
      <c r="K797" s="15" t="s">
        <v>228</v>
      </c>
      <c r="L797" s="15">
        <v>8.4</v>
      </c>
      <c r="M797" s="23">
        <v>3.3</v>
      </c>
      <c r="N797" s="51">
        <v>1.5269999999999999</v>
      </c>
      <c r="O797" s="51">
        <v>4.1000000000000002E-2</v>
      </c>
      <c r="P797" s="51">
        <v>2.9000000000000001E-2</v>
      </c>
    </row>
    <row r="798" spans="1:16" ht="14" customHeight="1" x14ac:dyDescent="0.25">
      <c r="A798" s="156"/>
      <c r="B798" s="11">
        <v>8</v>
      </c>
      <c r="C798" s="15" t="s">
        <v>228</v>
      </c>
      <c r="D798" s="15">
        <v>1.5</v>
      </c>
      <c r="E798" s="18">
        <v>0.64571674558760195</v>
      </c>
      <c r="F798" s="17">
        <v>1.323</v>
      </c>
      <c r="G798" s="17">
        <v>3.4000000000000002E-2</v>
      </c>
      <c r="H798" s="17">
        <v>2.5000000000000001E-2</v>
      </c>
      <c r="I798" s="15"/>
      <c r="J798" s="11">
        <v>8</v>
      </c>
      <c r="K798" s="15" t="s">
        <v>101</v>
      </c>
      <c r="L798" s="15">
        <v>5.8</v>
      </c>
      <c r="M798" s="23">
        <v>2.2000000000000002</v>
      </c>
      <c r="N798" s="51">
        <v>1.65</v>
      </c>
      <c r="O798" s="51">
        <v>2.9000000000000001E-2</v>
      </c>
      <c r="P798" s="51">
        <v>1.9E-2</v>
      </c>
    </row>
    <row r="799" spans="1:16" ht="14" customHeight="1" x14ac:dyDescent="0.25">
      <c r="A799" s="156"/>
      <c r="B799" s="11">
        <v>9</v>
      </c>
      <c r="C799" s="15" t="s">
        <v>181</v>
      </c>
      <c r="D799" s="15">
        <v>0.7</v>
      </c>
      <c r="E799" s="18">
        <v>0.129942454056061</v>
      </c>
      <c r="F799" s="17">
        <v>4.3869999999999996</v>
      </c>
      <c r="G799" s="17">
        <v>1.7000000000000001E-2</v>
      </c>
      <c r="H799" s="17">
        <v>5.0000000000000001E-3</v>
      </c>
      <c r="I799" s="15"/>
      <c r="J799" s="11">
        <v>9</v>
      </c>
      <c r="K799" s="15" t="s">
        <v>181</v>
      </c>
      <c r="L799" s="15">
        <v>3.1</v>
      </c>
      <c r="M799" s="23">
        <v>0.4</v>
      </c>
      <c r="N799" s="51">
        <v>6.633</v>
      </c>
      <c r="O799" s="51">
        <v>1.4999999999999999E-2</v>
      </c>
      <c r="P799" s="51">
        <v>4.0000000000000001E-3</v>
      </c>
    </row>
    <row r="800" spans="1:16" ht="14" customHeight="1" x14ac:dyDescent="0.25">
      <c r="A800" s="156"/>
      <c r="B800" s="15">
        <v>10</v>
      </c>
      <c r="C800" s="15" t="s">
        <v>103</v>
      </c>
      <c r="D800" s="15">
        <v>0.6</v>
      </c>
      <c r="E800" s="18">
        <v>0.21413276231263401</v>
      </c>
      <c r="F800" s="17">
        <v>1.802</v>
      </c>
      <c r="G800" s="17">
        <v>1.4E-2</v>
      </c>
      <c r="H800" s="17">
        <v>8.9999999999999993E-3</v>
      </c>
      <c r="I800" s="15"/>
      <c r="J800" s="15">
        <v>10</v>
      </c>
      <c r="K800" s="15" t="s">
        <v>104</v>
      </c>
      <c r="L800" s="15">
        <v>2.6</v>
      </c>
      <c r="M800" s="23">
        <v>1</v>
      </c>
      <c r="N800" s="51">
        <v>1.4710000000000001</v>
      </c>
      <c r="O800" s="51">
        <v>1.2999999999999999E-2</v>
      </c>
      <c r="P800" s="51">
        <v>8.9999999999999993E-3</v>
      </c>
    </row>
    <row r="801" spans="1:16" ht="14" customHeight="1" x14ac:dyDescent="0.25">
      <c r="A801" s="156"/>
      <c r="B801" s="15" t="s">
        <v>207</v>
      </c>
      <c r="C801" s="15"/>
      <c r="D801" s="15">
        <v>4.0999999999999996</v>
      </c>
      <c r="E801" s="18">
        <v>2.1</v>
      </c>
      <c r="F801" s="17">
        <v>0.952380952380952</v>
      </c>
      <c r="G801" s="17">
        <v>0.09</v>
      </c>
      <c r="H801" s="17">
        <v>7.8E-2</v>
      </c>
      <c r="I801" s="15"/>
      <c r="J801" s="15" t="s">
        <v>105</v>
      </c>
      <c r="K801" s="15"/>
      <c r="L801" s="15">
        <v>16.8</v>
      </c>
      <c r="M801" s="23">
        <v>10</v>
      </c>
      <c r="N801" s="51">
        <v>0.68100000000000005</v>
      </c>
      <c r="O801" s="51">
        <v>8.2000000000000003E-2</v>
      </c>
      <c r="P801" s="51">
        <v>8.5999999999999702E-2</v>
      </c>
    </row>
    <row r="802" spans="1:16" ht="14" customHeight="1" x14ac:dyDescent="0.25">
      <c r="A802" s="156"/>
      <c r="B802" s="15" t="s">
        <v>130</v>
      </c>
      <c r="C802" s="15"/>
      <c r="D802" s="15">
        <v>45.2</v>
      </c>
      <c r="E802" s="18">
        <v>26.3</v>
      </c>
      <c r="F802" s="17">
        <v>0.71863117870722404</v>
      </c>
      <c r="G802" s="17">
        <v>1</v>
      </c>
      <c r="H802" s="17">
        <v>1</v>
      </c>
      <c r="I802" s="15"/>
      <c r="J802" s="15" t="s">
        <v>130</v>
      </c>
      <c r="K802" s="15"/>
      <c r="L802" s="15">
        <v>203.4</v>
      </c>
      <c r="M802" s="23">
        <v>115.1</v>
      </c>
      <c r="N802" s="17">
        <v>0.76800000000000002</v>
      </c>
      <c r="O802" s="17">
        <v>1</v>
      </c>
      <c r="P802" s="17">
        <v>1</v>
      </c>
    </row>
    <row r="803" spans="1:16" ht="14" customHeight="1" x14ac:dyDescent="0.25">
      <c r="A803" s="156"/>
      <c r="B803" s="15"/>
      <c r="C803" s="15"/>
      <c r="D803" s="15"/>
      <c r="E803" s="15"/>
      <c r="F803" s="15"/>
      <c r="G803" s="15"/>
      <c r="H803" s="15"/>
      <c r="I803" s="15"/>
      <c r="J803" s="15"/>
      <c r="K803" s="15"/>
      <c r="L803" s="15"/>
      <c r="M803" s="15"/>
      <c r="N803" s="15"/>
      <c r="O803" s="15"/>
      <c r="P803" s="15"/>
    </row>
    <row r="804" spans="1:16" ht="14" customHeight="1" x14ac:dyDescent="0.25">
      <c r="A804" s="156"/>
      <c r="B804" s="15"/>
      <c r="C804" s="15"/>
      <c r="D804" s="15"/>
      <c r="E804" s="15"/>
      <c r="F804" s="15"/>
      <c r="G804" s="15"/>
      <c r="H804" s="15"/>
      <c r="I804" s="15"/>
      <c r="J804" s="15"/>
      <c r="K804" s="15"/>
      <c r="L804" s="15"/>
      <c r="M804" s="15"/>
      <c r="N804" s="15"/>
      <c r="O804" s="15"/>
      <c r="P804" s="15"/>
    </row>
    <row r="805" spans="1:16" ht="14" customHeight="1" x14ac:dyDescent="0.25">
      <c r="A805" s="156"/>
      <c r="B805" s="15"/>
      <c r="C805" s="15"/>
      <c r="D805" s="15"/>
      <c r="E805" s="15"/>
      <c r="F805" s="15"/>
      <c r="G805" s="15"/>
      <c r="H805" s="15"/>
      <c r="I805" s="15"/>
      <c r="J805" s="15"/>
      <c r="K805" s="15"/>
      <c r="L805" s="15"/>
      <c r="M805" s="15"/>
      <c r="N805" s="15"/>
      <c r="O805" s="15"/>
      <c r="P805" s="15"/>
    </row>
    <row r="806" spans="1:16" ht="14" customHeight="1" x14ac:dyDescent="0.25">
      <c r="A806" s="156"/>
      <c r="B806" s="15"/>
      <c r="C806" s="15"/>
      <c r="D806" s="15"/>
      <c r="E806" s="15"/>
      <c r="F806" s="15"/>
      <c r="G806" s="15"/>
      <c r="H806" s="15"/>
      <c r="I806" s="15"/>
      <c r="J806" s="15"/>
      <c r="K806" s="15"/>
      <c r="L806" s="15"/>
      <c r="M806" s="15"/>
      <c r="N806" s="15"/>
      <c r="O806" s="15"/>
      <c r="P806" s="15"/>
    </row>
    <row r="807" spans="1:16" ht="14" customHeight="1" x14ac:dyDescent="0.25">
      <c r="A807" s="156"/>
      <c r="B807" s="15"/>
      <c r="C807" s="15"/>
      <c r="D807" s="15"/>
      <c r="E807" s="15"/>
      <c r="F807" s="15"/>
      <c r="G807" s="15"/>
      <c r="H807" s="15"/>
      <c r="I807" s="15"/>
      <c r="J807" s="15"/>
      <c r="K807" s="15"/>
      <c r="L807" s="15"/>
      <c r="M807" s="15"/>
      <c r="N807" s="15"/>
      <c r="O807" s="15"/>
      <c r="P807" s="15"/>
    </row>
    <row r="808" spans="1:16" ht="14" customHeight="1" x14ac:dyDescent="0.25">
      <c r="A808" s="156"/>
      <c r="B808" s="15"/>
      <c r="C808" s="15"/>
      <c r="D808" s="15"/>
      <c r="E808" s="15"/>
      <c r="F808" s="15"/>
      <c r="G808" s="15"/>
      <c r="H808" s="15"/>
      <c r="I808" s="15"/>
      <c r="J808" s="15"/>
      <c r="K808" s="15"/>
      <c r="L808" s="15"/>
      <c r="M808" s="15"/>
      <c r="N808" s="15"/>
      <c r="O808" s="15"/>
      <c r="P808" s="15"/>
    </row>
    <row r="809" spans="1:16" ht="14" customHeight="1" x14ac:dyDescent="0.25">
      <c r="A809" s="156"/>
      <c r="B809" s="15"/>
      <c r="C809" s="15"/>
      <c r="D809" s="15"/>
      <c r="E809" s="15"/>
      <c r="F809" s="15"/>
      <c r="G809" s="15"/>
      <c r="H809" s="15"/>
      <c r="I809" s="15"/>
      <c r="J809" s="15"/>
      <c r="K809" s="15"/>
      <c r="L809" s="15"/>
      <c r="M809" s="15"/>
      <c r="N809" s="15"/>
      <c r="O809" s="15"/>
      <c r="P809" s="15"/>
    </row>
    <row r="810" spans="1:16" ht="14" customHeight="1" x14ac:dyDescent="0.25">
      <c r="A810" s="156"/>
      <c r="B810" s="11" t="s">
        <v>246</v>
      </c>
      <c r="C810" s="11"/>
      <c r="D810" s="11"/>
      <c r="E810" s="11"/>
      <c r="F810" s="11"/>
      <c r="G810" s="11"/>
      <c r="H810" s="11"/>
      <c r="I810" s="15"/>
      <c r="J810" s="11" t="s">
        <v>247</v>
      </c>
      <c r="K810" s="11"/>
      <c r="L810" s="11"/>
      <c r="M810" s="11"/>
      <c r="N810" s="11"/>
      <c r="O810" s="11"/>
      <c r="P810" s="11"/>
    </row>
    <row r="811" spans="1:16" ht="14" customHeight="1" x14ac:dyDescent="0.25">
      <c r="A811" s="156"/>
      <c r="B811" s="11" t="s">
        <v>96</v>
      </c>
      <c r="C811" s="15" t="s">
        <v>123</v>
      </c>
      <c r="D811" s="19">
        <v>44682</v>
      </c>
      <c r="E811" s="19">
        <v>44317</v>
      </c>
      <c r="F811" s="15" t="s">
        <v>34</v>
      </c>
      <c r="G811" s="15" t="s">
        <v>176</v>
      </c>
      <c r="H811" s="15" t="s">
        <v>217</v>
      </c>
      <c r="I811" s="15"/>
      <c r="J811" s="11" t="s">
        <v>96</v>
      </c>
      <c r="K811" s="15" t="s">
        <v>123</v>
      </c>
      <c r="L811" s="19" t="s">
        <v>248</v>
      </c>
      <c r="M811" s="19" t="s">
        <v>248</v>
      </c>
      <c r="N811" s="21" t="s">
        <v>34</v>
      </c>
      <c r="O811" s="21" t="s">
        <v>180</v>
      </c>
      <c r="P811" s="21" t="s">
        <v>221</v>
      </c>
    </row>
    <row r="812" spans="1:16" ht="14" customHeight="1" x14ac:dyDescent="0.25">
      <c r="A812" s="156"/>
      <c r="B812" s="11">
        <v>1</v>
      </c>
      <c r="C812" s="15" t="s">
        <v>98</v>
      </c>
      <c r="D812" s="15">
        <v>11.4</v>
      </c>
      <c r="E812" s="18">
        <v>5.4886856042368803</v>
      </c>
      <c r="F812" s="16">
        <v>1.077</v>
      </c>
      <c r="G812" s="16">
        <v>0.33900000000000002</v>
      </c>
      <c r="H812" s="16">
        <v>0.25900000000000001</v>
      </c>
      <c r="I812" s="15"/>
      <c r="J812" s="11">
        <v>1</v>
      </c>
      <c r="K812" s="15" t="s">
        <v>98</v>
      </c>
      <c r="L812" s="15">
        <v>53.3</v>
      </c>
      <c r="M812" s="23">
        <v>25.129655822725098</v>
      </c>
      <c r="N812" s="51">
        <v>1.121</v>
      </c>
      <c r="O812" s="51">
        <v>0.33900000000000002</v>
      </c>
      <c r="P812" s="51">
        <v>0.28299999999999997</v>
      </c>
    </row>
    <row r="813" spans="1:16" ht="14" customHeight="1" x14ac:dyDescent="0.25">
      <c r="A813" s="156"/>
      <c r="B813" s="11">
        <v>2</v>
      </c>
      <c r="C813" s="15" t="s">
        <v>99</v>
      </c>
      <c r="D813" s="15">
        <v>4.2</v>
      </c>
      <c r="E813" s="18">
        <v>1.54468554615668</v>
      </c>
      <c r="F813" s="16">
        <v>1.7190000000000001</v>
      </c>
      <c r="G813" s="16">
        <v>0.125</v>
      </c>
      <c r="H813" s="16">
        <v>7.2999999999999995E-2</v>
      </c>
      <c r="I813" s="15"/>
      <c r="J813" s="11">
        <v>2</v>
      </c>
      <c r="K813" s="15" t="s">
        <v>227</v>
      </c>
      <c r="L813" s="15">
        <v>22.6</v>
      </c>
      <c r="M813" s="23">
        <v>20.945319740500501</v>
      </c>
      <c r="N813" s="51">
        <v>7.9000000000000001E-2</v>
      </c>
      <c r="O813" s="51">
        <v>0.14399999999999999</v>
      </c>
      <c r="P813" s="51">
        <v>0.23599999999999999</v>
      </c>
    </row>
    <row r="814" spans="1:16" ht="14" customHeight="1" x14ac:dyDescent="0.25">
      <c r="A814" s="156"/>
      <c r="B814" s="11">
        <v>3</v>
      </c>
      <c r="C814" s="15" t="s">
        <v>227</v>
      </c>
      <c r="D814" s="15">
        <v>4.2</v>
      </c>
      <c r="E814" s="18">
        <v>5.5851063829787204</v>
      </c>
      <c r="F814" s="16">
        <v>-0.248</v>
      </c>
      <c r="G814" s="16">
        <v>0.125</v>
      </c>
      <c r="H814" s="16">
        <v>0.26400000000000001</v>
      </c>
      <c r="I814" s="15"/>
      <c r="J814" s="11">
        <v>3</v>
      </c>
      <c r="K814" s="15" t="s">
        <v>99</v>
      </c>
      <c r="L814" s="15">
        <v>19</v>
      </c>
      <c r="M814" s="23">
        <v>6.1191626409017701</v>
      </c>
      <c r="N814" s="51">
        <v>2.105</v>
      </c>
      <c r="O814" s="51">
        <v>0.121</v>
      </c>
      <c r="P814" s="51">
        <v>6.9000000000000006E-2</v>
      </c>
    </row>
    <row r="815" spans="1:16" ht="14" customHeight="1" x14ac:dyDescent="0.25">
      <c r="A815" s="156"/>
      <c r="B815" s="11">
        <v>4</v>
      </c>
      <c r="C815" s="15" t="s">
        <v>102</v>
      </c>
      <c r="D815" s="15">
        <v>3.3</v>
      </c>
      <c r="E815" s="18">
        <v>3.1822565091610402</v>
      </c>
      <c r="F815" s="16">
        <v>3.6999999999999998E-2</v>
      </c>
      <c r="G815" s="16">
        <v>9.9000000000000005E-2</v>
      </c>
      <c r="H815" s="16">
        <v>0.151</v>
      </c>
      <c r="I815" s="15"/>
      <c r="J815" s="11">
        <v>4</v>
      </c>
      <c r="K815" s="15" t="s">
        <v>102</v>
      </c>
      <c r="L815" s="15">
        <v>16.5</v>
      </c>
      <c r="M815" s="23">
        <v>13.2743362831858</v>
      </c>
      <c r="N815" s="51">
        <v>0.24299999999999999</v>
      </c>
      <c r="O815" s="51">
        <v>0.105</v>
      </c>
      <c r="P815" s="51">
        <v>0.15</v>
      </c>
    </row>
    <row r="816" spans="1:16" ht="14" customHeight="1" x14ac:dyDescent="0.25">
      <c r="A816" s="156"/>
      <c r="B816" s="11">
        <v>5</v>
      </c>
      <c r="C816" s="11" t="s">
        <v>25</v>
      </c>
      <c r="D816" s="15">
        <v>2.2000000000000002</v>
      </c>
      <c r="E816" s="18">
        <v>1.0994502748625701</v>
      </c>
      <c r="F816" s="16">
        <v>1.0009999999999999</v>
      </c>
      <c r="G816" s="16">
        <v>6.6000000000000003E-2</v>
      </c>
      <c r="H816" s="16">
        <v>5.1999999999999998E-2</v>
      </c>
      <c r="I816" s="15"/>
      <c r="J816" s="11">
        <v>5</v>
      </c>
      <c r="K816" s="11" t="s">
        <v>25</v>
      </c>
      <c r="L816" s="15">
        <v>10.8</v>
      </c>
      <c r="M816" s="23">
        <v>4.6632124352331603</v>
      </c>
      <c r="N816" s="51">
        <v>1.3160000000000001</v>
      </c>
      <c r="O816" s="51">
        <v>6.8000000000000005E-2</v>
      </c>
      <c r="P816" s="51">
        <v>5.1999999999999998E-2</v>
      </c>
    </row>
    <row r="817" spans="1:16" ht="14" customHeight="1" x14ac:dyDescent="0.25">
      <c r="A817" s="156"/>
      <c r="B817" s="11">
        <v>6</v>
      </c>
      <c r="C817" s="15" t="s">
        <v>173</v>
      </c>
      <c r="D817" s="15">
        <v>1.7</v>
      </c>
      <c r="E817" s="18">
        <v>1.14864864864865</v>
      </c>
      <c r="F817" s="16">
        <v>0.48</v>
      </c>
      <c r="G817" s="16">
        <v>5.0999999999999997E-2</v>
      </c>
      <c r="H817" s="16">
        <v>5.3999999999999999E-2</v>
      </c>
      <c r="I817" s="15"/>
      <c r="J817" s="11">
        <v>6</v>
      </c>
      <c r="K817" s="15" t="s">
        <v>173</v>
      </c>
      <c r="L817" s="15">
        <v>6.9</v>
      </c>
      <c r="M817" s="23">
        <v>5.2075471698113196</v>
      </c>
      <c r="N817" s="51">
        <v>0.32500000000000001</v>
      </c>
      <c r="O817" s="51">
        <v>4.3999999999999997E-2</v>
      </c>
      <c r="P817" s="51">
        <v>5.8999999999999997E-2</v>
      </c>
    </row>
    <row r="818" spans="1:16" ht="14" customHeight="1" x14ac:dyDescent="0.25">
      <c r="A818" s="156"/>
      <c r="B818" s="11">
        <v>7</v>
      </c>
      <c r="C818" s="15" t="s">
        <v>228</v>
      </c>
      <c r="D818" s="15">
        <v>1.6</v>
      </c>
      <c r="E818" s="18">
        <v>0.78010726474890302</v>
      </c>
      <c r="F818" s="16">
        <v>1.0509999999999999</v>
      </c>
      <c r="G818" s="16">
        <v>4.7E-2</v>
      </c>
      <c r="H818" s="16">
        <v>3.5999999999999997E-2</v>
      </c>
      <c r="I818" s="15"/>
      <c r="J818" s="11">
        <v>7</v>
      </c>
      <c r="K818" s="15" t="s">
        <v>228</v>
      </c>
      <c r="L818" s="15">
        <v>6.7</v>
      </c>
      <c r="M818" s="23">
        <v>2.6346834447502898</v>
      </c>
      <c r="N818" s="51">
        <v>1.5429999999999999</v>
      </c>
      <c r="O818" s="51">
        <v>4.2999999999999997E-2</v>
      </c>
      <c r="P818" s="51">
        <v>0.03</v>
      </c>
    </row>
    <row r="819" spans="1:16" ht="14" customHeight="1" x14ac:dyDescent="0.25">
      <c r="A819" s="156"/>
      <c r="B819" s="11">
        <v>8</v>
      </c>
      <c r="C819" s="15" t="s">
        <v>101</v>
      </c>
      <c r="D819" s="15">
        <v>0.9</v>
      </c>
      <c r="E819" s="18">
        <v>0.384779820436084</v>
      </c>
      <c r="F819" s="16">
        <v>1.339</v>
      </c>
      <c r="G819" s="16">
        <v>2.8000000000000001E-2</v>
      </c>
      <c r="H819" s="16">
        <v>1.9E-2</v>
      </c>
      <c r="I819" s="15"/>
      <c r="J819" s="11">
        <v>8</v>
      </c>
      <c r="K819" s="15" t="s">
        <v>101</v>
      </c>
      <c r="L819" s="15">
        <v>4.2</v>
      </c>
      <c r="M819" s="23">
        <v>1.7156862745098</v>
      </c>
      <c r="N819" s="51">
        <v>1.448</v>
      </c>
      <c r="O819" s="51">
        <v>2.7E-2</v>
      </c>
      <c r="P819" s="51">
        <v>1.9E-2</v>
      </c>
    </row>
    <row r="820" spans="1:16" ht="14" customHeight="1" x14ac:dyDescent="0.25">
      <c r="A820" s="156"/>
      <c r="B820" s="11">
        <v>9</v>
      </c>
      <c r="C820" s="15" t="s">
        <v>181</v>
      </c>
      <c r="D820" s="15">
        <v>0.5</v>
      </c>
      <c r="E820" s="18">
        <v>6.7267590474909197E-2</v>
      </c>
      <c r="F820" s="16">
        <v>6.4329999999999998</v>
      </c>
      <c r="G820" s="16">
        <v>1.6E-2</v>
      </c>
      <c r="H820" s="16">
        <v>3.0000000000000001E-3</v>
      </c>
      <c r="I820" s="15"/>
      <c r="J820" s="11">
        <v>9</v>
      </c>
      <c r="K820" s="15" t="s">
        <v>181</v>
      </c>
      <c r="L820" s="15">
        <v>2.4</v>
      </c>
      <c r="M820" s="23">
        <v>0.27260336210813302</v>
      </c>
      <c r="N820" s="51">
        <v>7.8040000000000003</v>
      </c>
      <c r="O820" s="51">
        <v>1.4999999999999999E-2</v>
      </c>
      <c r="P820" s="51">
        <v>3.0000000000000001E-3</v>
      </c>
    </row>
    <row r="821" spans="1:16" ht="14" customHeight="1" x14ac:dyDescent="0.25">
      <c r="A821" s="156"/>
      <c r="B821" s="15">
        <v>10</v>
      </c>
      <c r="C821" s="15" t="s">
        <v>103</v>
      </c>
      <c r="D821" s="15">
        <v>0.5</v>
      </c>
      <c r="E821" s="18">
        <v>0.205170291341814</v>
      </c>
      <c r="F821" s="16">
        <v>1.4370000000000001</v>
      </c>
      <c r="G821" s="16">
        <v>1.4999999999999999E-2</v>
      </c>
      <c r="H821" s="16">
        <v>0.01</v>
      </c>
      <c r="I821" s="15"/>
      <c r="J821" s="15">
        <v>10</v>
      </c>
      <c r="K821" s="15" t="s">
        <v>104</v>
      </c>
      <c r="L821" s="15">
        <v>2</v>
      </c>
      <c r="M821" s="23">
        <v>0.78771169751870795</v>
      </c>
      <c r="N821" s="51">
        <v>1.5389999999999999</v>
      </c>
      <c r="O821" s="51">
        <v>1.2999999999999999E-2</v>
      </c>
      <c r="P821" s="51">
        <v>8.9999999999999993E-3</v>
      </c>
    </row>
    <row r="822" spans="1:16" ht="14" customHeight="1" x14ac:dyDescent="0.25">
      <c r="A822" s="156"/>
      <c r="B822" s="15" t="s">
        <v>207</v>
      </c>
      <c r="C822" s="15"/>
      <c r="D822" s="15">
        <v>3</v>
      </c>
      <c r="E822" s="18">
        <v>1.66852057842047</v>
      </c>
      <c r="F822" s="16">
        <v>0.79800000000000004</v>
      </c>
      <c r="G822" s="16">
        <v>0.09</v>
      </c>
      <c r="H822" s="16">
        <v>7.9000000000000001E-2</v>
      </c>
      <c r="I822" s="15"/>
      <c r="J822" s="15" t="s">
        <v>105</v>
      </c>
      <c r="K822" s="15"/>
      <c r="L822" s="15">
        <v>12.9</v>
      </c>
      <c r="M822" s="23">
        <v>7.9384615384615396</v>
      </c>
      <c r="N822" s="51">
        <v>0.625</v>
      </c>
      <c r="O822" s="51">
        <v>8.2000000000000003E-2</v>
      </c>
      <c r="P822" s="51">
        <v>8.8999999999999996E-2</v>
      </c>
    </row>
    <row r="823" spans="1:16" ht="14" customHeight="1" x14ac:dyDescent="0.25">
      <c r="A823" s="156"/>
      <c r="B823" s="15" t="s">
        <v>130</v>
      </c>
      <c r="C823" s="15"/>
      <c r="D823" s="15">
        <v>33.700000000000003</v>
      </c>
      <c r="E823" s="18">
        <v>21.275252525252501</v>
      </c>
      <c r="F823" s="16">
        <v>0.58399999999999996</v>
      </c>
      <c r="G823" s="16">
        <v>1</v>
      </c>
      <c r="H823" s="16">
        <v>1</v>
      </c>
      <c r="I823" s="15"/>
      <c r="J823" s="15" t="s">
        <v>130</v>
      </c>
      <c r="K823" s="15"/>
      <c r="L823" s="15">
        <v>157.4</v>
      </c>
      <c r="M823" s="23">
        <v>88.776085730400496</v>
      </c>
      <c r="N823" s="17">
        <v>0.77300000000000002</v>
      </c>
      <c r="O823" s="17">
        <v>1</v>
      </c>
      <c r="P823" s="17">
        <v>1</v>
      </c>
    </row>
    <row r="824" spans="1:16" ht="14" customHeight="1" x14ac:dyDescent="0.25">
      <c r="A824" s="156"/>
      <c r="B824" s="15"/>
      <c r="C824" s="15"/>
      <c r="D824" s="15"/>
      <c r="E824" s="15"/>
      <c r="F824" s="15"/>
      <c r="G824" s="15"/>
      <c r="H824" s="15"/>
      <c r="I824" s="15"/>
      <c r="J824" s="15"/>
      <c r="K824" s="15"/>
      <c r="L824" s="15"/>
      <c r="M824" s="15"/>
      <c r="N824" s="15"/>
      <c r="O824" s="15"/>
      <c r="P824" s="15"/>
    </row>
    <row r="825" spans="1:16" ht="14" customHeight="1" x14ac:dyDescent="0.25">
      <c r="A825" s="156"/>
      <c r="B825" s="15"/>
      <c r="C825" s="15"/>
      <c r="D825" s="15"/>
      <c r="E825" s="15"/>
      <c r="F825" s="15"/>
      <c r="G825" s="15"/>
      <c r="H825" s="15"/>
      <c r="I825" s="15"/>
      <c r="J825" s="15"/>
      <c r="K825" s="15"/>
      <c r="L825" s="15"/>
      <c r="M825" s="15"/>
      <c r="N825" s="15"/>
      <c r="O825" s="15"/>
      <c r="P825" s="15"/>
    </row>
    <row r="826" spans="1:16" ht="14" customHeight="1" x14ac:dyDescent="0.25">
      <c r="A826" s="156"/>
      <c r="B826" s="15"/>
      <c r="C826" s="15"/>
      <c r="D826" s="15"/>
      <c r="E826" s="15"/>
      <c r="F826" s="15"/>
      <c r="G826" s="15"/>
      <c r="H826" s="15"/>
      <c r="I826" s="15"/>
      <c r="J826" s="15"/>
      <c r="K826" s="15"/>
      <c r="L826" s="15"/>
      <c r="M826" s="15"/>
      <c r="N826" s="15"/>
      <c r="O826" s="15"/>
      <c r="P826" s="15"/>
    </row>
    <row r="827" spans="1:16" ht="14" customHeight="1" x14ac:dyDescent="0.25">
      <c r="A827" s="156"/>
      <c r="B827" s="15"/>
      <c r="C827" s="15"/>
      <c r="D827" s="15"/>
      <c r="E827" s="15"/>
      <c r="F827" s="15"/>
      <c r="G827" s="15"/>
      <c r="H827" s="15"/>
      <c r="I827" s="15"/>
      <c r="J827" s="15"/>
      <c r="K827" s="15"/>
      <c r="L827" s="15"/>
      <c r="M827" s="15"/>
      <c r="N827" s="15"/>
      <c r="O827" s="15"/>
      <c r="P827" s="15"/>
    </row>
    <row r="828" spans="1:16" ht="14" customHeight="1" x14ac:dyDescent="0.25">
      <c r="A828" s="156"/>
      <c r="B828" s="15"/>
      <c r="C828" s="15"/>
      <c r="D828" s="15"/>
      <c r="E828" s="15"/>
      <c r="F828" s="15"/>
      <c r="G828" s="15"/>
      <c r="H828" s="15"/>
      <c r="I828" s="15"/>
      <c r="J828" s="15"/>
      <c r="K828" s="15"/>
      <c r="L828" s="15"/>
      <c r="M828" s="15"/>
      <c r="N828" s="15"/>
      <c r="O828" s="15"/>
      <c r="P828" s="15"/>
    </row>
    <row r="829" spans="1:16" ht="14" customHeight="1" x14ac:dyDescent="0.25">
      <c r="A829" s="156"/>
      <c r="B829" s="15"/>
      <c r="C829" s="15"/>
      <c r="D829" s="15"/>
      <c r="E829" s="15"/>
      <c r="F829" s="15"/>
      <c r="G829" s="15"/>
      <c r="H829" s="15"/>
      <c r="I829" s="15"/>
      <c r="J829" s="15"/>
      <c r="K829" s="15"/>
      <c r="L829" s="15"/>
      <c r="M829" s="15"/>
      <c r="N829" s="15"/>
      <c r="O829" s="15"/>
      <c r="P829" s="15"/>
    </row>
    <row r="830" spans="1:16" ht="14" customHeight="1" x14ac:dyDescent="0.25">
      <c r="A830" s="156"/>
      <c r="B830" s="15"/>
      <c r="C830" s="15"/>
      <c r="D830" s="15"/>
      <c r="E830" s="15"/>
      <c r="F830" s="15"/>
      <c r="G830" s="15"/>
      <c r="H830" s="15"/>
      <c r="I830" s="15"/>
      <c r="J830" s="15"/>
      <c r="K830" s="15"/>
      <c r="L830" s="15"/>
      <c r="M830" s="15"/>
      <c r="N830" s="15"/>
      <c r="O830" s="15"/>
      <c r="P830" s="15"/>
    </row>
    <row r="831" spans="1:16" ht="14" customHeight="1" x14ac:dyDescent="0.25">
      <c r="A831" s="156"/>
      <c r="B831" s="11" t="s">
        <v>249</v>
      </c>
      <c r="C831" s="11"/>
      <c r="D831" s="11"/>
      <c r="E831" s="11"/>
      <c r="F831" s="11"/>
      <c r="G831" s="11"/>
      <c r="H831" s="11"/>
      <c r="I831" s="15"/>
      <c r="J831" s="11" t="s">
        <v>250</v>
      </c>
      <c r="K831" s="11"/>
      <c r="L831" s="11"/>
      <c r="M831" s="11"/>
      <c r="N831" s="11"/>
      <c r="O831" s="11"/>
      <c r="P831" s="11"/>
    </row>
    <row r="832" spans="1:16" ht="14" customHeight="1" x14ac:dyDescent="0.25">
      <c r="A832" s="156"/>
      <c r="B832" s="11" t="s">
        <v>96</v>
      </c>
      <c r="C832" s="15" t="s">
        <v>123</v>
      </c>
      <c r="D832" s="19">
        <v>44652</v>
      </c>
      <c r="E832" s="19">
        <v>44287</v>
      </c>
      <c r="F832" s="21" t="s">
        <v>34</v>
      </c>
      <c r="G832" s="21" t="s">
        <v>180</v>
      </c>
      <c r="H832" s="21" t="s">
        <v>221</v>
      </c>
      <c r="I832" s="15"/>
      <c r="J832" s="11" t="s">
        <v>96</v>
      </c>
      <c r="K832" s="15" t="s">
        <v>123</v>
      </c>
      <c r="L832" s="19" t="s">
        <v>251</v>
      </c>
      <c r="M832" s="19" t="s">
        <v>252</v>
      </c>
      <c r="N832" s="21" t="s">
        <v>34</v>
      </c>
      <c r="O832" s="21" t="s">
        <v>180</v>
      </c>
      <c r="P832" s="21" t="s">
        <v>221</v>
      </c>
    </row>
    <row r="833" spans="1:16" ht="14" customHeight="1" x14ac:dyDescent="0.25">
      <c r="A833" s="156"/>
      <c r="B833" s="11">
        <v>1</v>
      </c>
      <c r="C833" s="15" t="s">
        <v>98</v>
      </c>
      <c r="D833" s="15">
        <v>8</v>
      </c>
      <c r="E833" s="15">
        <v>5.4</v>
      </c>
      <c r="F833" s="51">
        <v>0.495</v>
      </c>
      <c r="G833" s="51">
        <v>0.29599999999999999</v>
      </c>
      <c r="H833" s="51">
        <v>0.30099999999999999</v>
      </c>
      <c r="I833" s="15"/>
      <c r="J833" s="11">
        <v>1</v>
      </c>
      <c r="K833" s="15" t="s">
        <v>98</v>
      </c>
      <c r="L833" s="15">
        <v>41.5</v>
      </c>
      <c r="M833" s="15">
        <v>19.399999999999999</v>
      </c>
      <c r="N833" s="51">
        <v>1.141</v>
      </c>
      <c r="O833" s="51">
        <v>0.33700000000000002</v>
      </c>
      <c r="P833" s="51">
        <v>0.28899999999999998</v>
      </c>
    </row>
    <row r="834" spans="1:16" ht="14" customHeight="1" x14ac:dyDescent="0.25">
      <c r="A834" s="156"/>
      <c r="B834" s="11">
        <v>2</v>
      </c>
      <c r="C834" s="15" t="s">
        <v>99</v>
      </c>
      <c r="D834" s="15">
        <v>4.3</v>
      </c>
      <c r="E834" s="15">
        <v>1.3</v>
      </c>
      <c r="F834" s="51">
        <v>2.33</v>
      </c>
      <c r="G834" s="51">
        <v>0.159</v>
      </c>
      <c r="H834" s="51">
        <v>7.2999999999999995E-2</v>
      </c>
      <c r="I834" s="15"/>
      <c r="J834" s="11">
        <v>2</v>
      </c>
      <c r="K834" s="15" t="s">
        <v>227</v>
      </c>
      <c r="L834" s="15">
        <v>18.3</v>
      </c>
      <c r="M834" s="15">
        <v>15.3</v>
      </c>
      <c r="N834" s="51">
        <v>0.191</v>
      </c>
      <c r="O834" s="51">
        <v>0.14899999999999999</v>
      </c>
      <c r="P834" s="51">
        <v>0.22900000000000001</v>
      </c>
    </row>
    <row r="835" spans="1:16" ht="14" customHeight="1" x14ac:dyDescent="0.25">
      <c r="A835" s="156"/>
      <c r="B835" s="11">
        <v>3</v>
      </c>
      <c r="C835" s="15" t="s">
        <v>227</v>
      </c>
      <c r="D835" s="15">
        <v>3.5</v>
      </c>
      <c r="E835" s="15">
        <v>4.5</v>
      </c>
      <c r="F835" s="51">
        <v>-0.22600000000000001</v>
      </c>
      <c r="G835" s="51">
        <v>0.128</v>
      </c>
      <c r="H835" s="51">
        <v>0.251</v>
      </c>
      <c r="I835" s="15"/>
      <c r="J835" s="11">
        <v>3</v>
      </c>
      <c r="K835" s="15" t="s">
        <v>99</v>
      </c>
      <c r="L835" s="15">
        <v>14.9</v>
      </c>
      <c r="M835" s="15">
        <v>4.5999999999999996</v>
      </c>
      <c r="N835" s="51">
        <v>2.2450000000000001</v>
      </c>
      <c r="O835" s="51">
        <v>0.121</v>
      </c>
      <c r="P835" s="51">
        <v>6.8000000000000005E-2</v>
      </c>
    </row>
    <row r="836" spans="1:16" ht="14" customHeight="1" x14ac:dyDescent="0.25">
      <c r="A836" s="156"/>
      <c r="B836" s="11">
        <v>4</v>
      </c>
      <c r="C836" s="15" t="s">
        <v>253</v>
      </c>
      <c r="D836" s="15">
        <v>3.2</v>
      </c>
      <c r="E836" s="15">
        <v>1.9</v>
      </c>
      <c r="F836" s="51">
        <v>0.70099999999999996</v>
      </c>
      <c r="G836" s="51">
        <v>0.11899999999999999</v>
      </c>
      <c r="H836" s="51">
        <v>0.106</v>
      </c>
      <c r="I836" s="15"/>
      <c r="J836" s="11">
        <v>4</v>
      </c>
      <c r="K836" s="15" t="s">
        <v>253</v>
      </c>
      <c r="L836" s="15">
        <v>13.3</v>
      </c>
      <c r="M836" s="15">
        <v>10.1</v>
      </c>
      <c r="N836" s="51">
        <v>0.313</v>
      </c>
      <c r="O836" s="51">
        <v>0.108</v>
      </c>
      <c r="P836" s="51">
        <v>0.151</v>
      </c>
    </row>
    <row r="837" spans="1:16" ht="14" customHeight="1" x14ac:dyDescent="0.25">
      <c r="A837" s="156"/>
      <c r="B837" s="11">
        <v>5</v>
      </c>
      <c r="C837" s="11" t="s">
        <v>25</v>
      </c>
      <c r="D837" s="15">
        <v>2.2000000000000002</v>
      </c>
      <c r="E837" s="15">
        <v>0.9</v>
      </c>
      <c r="F837" s="51">
        <v>1.375</v>
      </c>
      <c r="G837" s="51">
        <v>8.2000000000000003E-2</v>
      </c>
      <c r="H837" s="51">
        <v>5.2999999999999999E-2</v>
      </c>
      <c r="I837" s="15"/>
      <c r="J837" s="11">
        <v>5</v>
      </c>
      <c r="K837" s="11" t="s">
        <v>25</v>
      </c>
      <c r="L837" s="15">
        <v>8.6</v>
      </c>
      <c r="M837" s="15">
        <v>3.5</v>
      </c>
      <c r="N837" s="51">
        <v>1.413</v>
      </c>
      <c r="O837" s="51">
        <v>7.0000000000000007E-2</v>
      </c>
      <c r="P837" s="51">
        <v>5.2999999999999999E-2</v>
      </c>
    </row>
    <row r="838" spans="1:16" ht="14" customHeight="1" x14ac:dyDescent="0.25">
      <c r="A838" s="156"/>
      <c r="B838" s="11">
        <v>6</v>
      </c>
      <c r="C838" s="15" t="s">
        <v>173</v>
      </c>
      <c r="D838" s="15">
        <v>1.3</v>
      </c>
      <c r="E838" s="15">
        <v>1</v>
      </c>
      <c r="F838" s="51">
        <v>0.25900000000000001</v>
      </c>
      <c r="G838" s="51">
        <v>4.7E-2</v>
      </c>
      <c r="H838" s="51">
        <v>5.7000000000000002E-2</v>
      </c>
      <c r="I838" s="15"/>
      <c r="J838" s="11">
        <v>6</v>
      </c>
      <c r="K838" s="15" t="s">
        <v>228</v>
      </c>
      <c r="L838" s="15">
        <v>5.0999999999999996</v>
      </c>
      <c r="M838" s="15">
        <v>1.9</v>
      </c>
      <c r="N838" s="51">
        <v>1.7090000000000001</v>
      </c>
      <c r="O838" s="51">
        <v>4.1000000000000002E-2</v>
      </c>
      <c r="P838" s="51">
        <v>2.8000000000000001E-2</v>
      </c>
    </row>
    <row r="839" spans="1:16" ht="14" customHeight="1" x14ac:dyDescent="0.25">
      <c r="A839" s="156"/>
      <c r="B839" s="11">
        <v>7</v>
      </c>
      <c r="C839" s="15" t="s">
        <v>228</v>
      </c>
      <c r="D839" s="15">
        <v>0.9</v>
      </c>
      <c r="E839" s="15">
        <v>0.5</v>
      </c>
      <c r="F839" s="51">
        <v>0.81399999999999995</v>
      </c>
      <c r="G839" s="51">
        <v>3.5000000000000003E-2</v>
      </c>
      <c r="H839" s="51">
        <v>2.9000000000000001E-2</v>
      </c>
      <c r="I839" s="15"/>
      <c r="J839" s="11">
        <v>7</v>
      </c>
      <c r="K839" s="15" t="s">
        <v>173</v>
      </c>
      <c r="L839" s="15">
        <v>4.9000000000000004</v>
      </c>
      <c r="M839" s="15">
        <v>3.9</v>
      </c>
      <c r="N839" s="51">
        <v>0.26900000000000002</v>
      </c>
      <c r="O839" s="51">
        <v>0.04</v>
      </c>
      <c r="P839" s="51">
        <v>5.8000000000000003E-2</v>
      </c>
    </row>
    <row r="840" spans="1:16" ht="14" customHeight="1" x14ac:dyDescent="0.25">
      <c r="A840" s="156"/>
      <c r="B840" s="11">
        <v>8</v>
      </c>
      <c r="C840" s="15" t="s">
        <v>101</v>
      </c>
      <c r="D840" s="15">
        <v>0.7</v>
      </c>
      <c r="E840" s="15">
        <v>0.4</v>
      </c>
      <c r="F840" s="51">
        <v>0.749</v>
      </c>
      <c r="G840" s="51">
        <v>2.5999999999999999E-2</v>
      </c>
      <c r="H840" s="51">
        <v>2.3E-2</v>
      </c>
      <c r="I840" s="15"/>
      <c r="J840" s="11">
        <v>8</v>
      </c>
      <c r="K840" s="15" t="s">
        <v>101</v>
      </c>
      <c r="L840" s="15">
        <v>3.3</v>
      </c>
      <c r="M840" s="15">
        <v>1.3</v>
      </c>
      <c r="N840" s="51">
        <v>1.484</v>
      </c>
      <c r="O840" s="51">
        <v>2.7E-2</v>
      </c>
      <c r="P840" s="51">
        <v>0.02</v>
      </c>
    </row>
    <row r="841" spans="1:16" ht="14" customHeight="1" x14ac:dyDescent="0.25">
      <c r="A841" s="156"/>
      <c r="B841" s="11">
        <v>9</v>
      </c>
      <c r="C841" s="15" t="s">
        <v>181</v>
      </c>
      <c r="D841" s="15">
        <v>0.4</v>
      </c>
      <c r="E841" s="15">
        <v>0.1</v>
      </c>
      <c r="F841" s="51">
        <v>7.0940000000000003</v>
      </c>
      <c r="G841" s="51">
        <v>1.7000000000000001E-2</v>
      </c>
      <c r="H841" s="51">
        <v>3.0000000000000001E-3</v>
      </c>
      <c r="I841" s="15"/>
      <c r="J841" s="11">
        <v>9</v>
      </c>
      <c r="K841" s="15" t="s">
        <v>181</v>
      </c>
      <c r="L841" s="15">
        <v>1.7</v>
      </c>
      <c r="M841" s="15">
        <v>0.2</v>
      </c>
      <c r="N841" s="51">
        <v>7.7030000000000003</v>
      </c>
      <c r="O841" s="51">
        <v>1.4E-2</v>
      </c>
      <c r="P841" s="51">
        <v>3.0000000000000001E-3</v>
      </c>
    </row>
    <row r="842" spans="1:16" ht="14" customHeight="1" x14ac:dyDescent="0.25">
      <c r="A842" s="156"/>
      <c r="B842" s="15">
        <v>10</v>
      </c>
      <c r="C842" s="15" t="s">
        <v>104</v>
      </c>
      <c r="D842" s="15">
        <v>0.3</v>
      </c>
      <c r="E842" s="15">
        <v>0.1</v>
      </c>
      <c r="F842" s="51">
        <v>1.3140000000000001</v>
      </c>
      <c r="G842" s="51">
        <v>1.2999999999999999E-2</v>
      </c>
      <c r="H842" s="51">
        <v>8.0000000000000002E-3</v>
      </c>
      <c r="I842" s="15"/>
      <c r="J842" s="6">
        <v>10</v>
      </c>
      <c r="K842" s="15" t="s">
        <v>104</v>
      </c>
      <c r="L842" s="15">
        <v>1.6</v>
      </c>
      <c r="M842" s="15">
        <v>0.7</v>
      </c>
      <c r="N842" s="51">
        <v>1.3879999999999999</v>
      </c>
      <c r="O842" s="51">
        <v>1.2999999999999999E-2</v>
      </c>
      <c r="P842" s="51">
        <v>0.01</v>
      </c>
    </row>
    <row r="843" spans="1:16" ht="14" customHeight="1" x14ac:dyDescent="0.25">
      <c r="A843" s="156"/>
      <c r="B843" s="15" t="s">
        <v>207</v>
      </c>
      <c r="C843" s="15"/>
      <c r="D843" s="15">
        <v>2.2000000000000002</v>
      </c>
      <c r="E843" s="15">
        <v>1.7</v>
      </c>
      <c r="F843" s="51">
        <v>0.26300000000000001</v>
      </c>
      <c r="G843" s="51">
        <v>0.08</v>
      </c>
      <c r="H843" s="51">
        <v>9.6000000000000002E-2</v>
      </c>
      <c r="I843" s="15"/>
      <c r="J843" s="15"/>
      <c r="K843" s="15" t="s">
        <v>105</v>
      </c>
      <c r="L843" s="15">
        <v>9.9</v>
      </c>
      <c r="M843" s="15">
        <v>6.2</v>
      </c>
      <c r="N843" s="51">
        <v>0.60399999999999998</v>
      </c>
      <c r="O843" s="51">
        <v>0.08</v>
      </c>
      <c r="P843" s="51">
        <v>9.1999999999999998E-2</v>
      </c>
    </row>
    <row r="844" spans="1:16" ht="14" customHeight="1" x14ac:dyDescent="0.25">
      <c r="A844" s="156"/>
      <c r="B844" s="15" t="s">
        <v>130</v>
      </c>
      <c r="C844" s="15"/>
      <c r="D844" s="15">
        <v>27.1</v>
      </c>
      <c r="E844" s="15">
        <v>17.8</v>
      </c>
      <c r="F844" s="17">
        <v>0.52300000000000002</v>
      </c>
      <c r="G844" s="17">
        <v>1</v>
      </c>
      <c r="H844" s="17">
        <v>1</v>
      </c>
      <c r="I844" s="15"/>
      <c r="J844" s="15" t="s">
        <v>130</v>
      </c>
      <c r="K844" s="15"/>
      <c r="L844" s="15">
        <v>122.9</v>
      </c>
      <c r="M844" s="15">
        <v>67</v>
      </c>
      <c r="N844" s="17">
        <v>0.83399999999999996</v>
      </c>
      <c r="O844" s="17">
        <v>1</v>
      </c>
      <c r="P844" s="17">
        <v>1</v>
      </c>
    </row>
    <row r="845" spans="1:16" ht="14" customHeight="1" x14ac:dyDescent="0.25">
      <c r="A845" s="156"/>
      <c r="B845" s="15"/>
      <c r="C845" s="15"/>
      <c r="D845" s="15"/>
      <c r="E845" s="15"/>
      <c r="F845" s="15"/>
      <c r="G845" s="15"/>
      <c r="H845" s="15"/>
      <c r="I845" s="15"/>
      <c r="J845" s="15"/>
      <c r="K845" s="15"/>
      <c r="L845" s="15"/>
      <c r="M845" s="15"/>
      <c r="N845" s="15"/>
      <c r="O845" s="15"/>
      <c r="P845" s="15"/>
    </row>
    <row r="846" spans="1:16" ht="14" customHeight="1" x14ac:dyDescent="0.25">
      <c r="A846" s="156"/>
      <c r="B846" s="15"/>
      <c r="C846" s="15"/>
      <c r="D846" s="15"/>
      <c r="E846" s="15"/>
      <c r="F846" s="15"/>
      <c r="G846" s="15"/>
      <c r="H846" s="15"/>
      <c r="I846" s="15"/>
      <c r="J846" s="15"/>
      <c r="K846" s="15"/>
      <c r="L846" s="15"/>
      <c r="M846" s="15"/>
      <c r="N846" s="15"/>
      <c r="O846" s="15"/>
      <c r="P846" s="15"/>
    </row>
    <row r="847" spans="1:16" ht="14" customHeight="1" x14ac:dyDescent="0.25">
      <c r="A847" s="156"/>
      <c r="B847" s="15"/>
      <c r="C847" s="15"/>
      <c r="D847" s="15"/>
      <c r="E847" s="15"/>
      <c r="F847" s="15"/>
      <c r="G847" s="15"/>
      <c r="H847" s="15"/>
      <c r="I847" s="15"/>
      <c r="J847" s="15"/>
      <c r="K847" s="15"/>
      <c r="L847" s="15"/>
      <c r="M847" s="15"/>
      <c r="N847" s="15"/>
      <c r="O847" s="15"/>
      <c r="P847" s="15"/>
    </row>
    <row r="848" spans="1:16" ht="14" customHeight="1" x14ac:dyDescent="0.25">
      <c r="A848" s="156"/>
      <c r="B848" s="15"/>
      <c r="C848" s="15"/>
      <c r="D848" s="15"/>
      <c r="E848" s="15"/>
      <c r="F848" s="15"/>
      <c r="G848" s="15"/>
      <c r="H848" s="15"/>
      <c r="I848" s="15"/>
      <c r="J848" s="15"/>
      <c r="K848" s="15"/>
      <c r="L848" s="15"/>
      <c r="M848" s="15"/>
      <c r="N848" s="15"/>
      <c r="O848" s="15"/>
      <c r="P848" s="15"/>
    </row>
    <row r="849" spans="1:16" ht="14" customHeight="1" x14ac:dyDescent="0.25">
      <c r="A849" s="156"/>
      <c r="B849" s="15"/>
      <c r="C849" s="15"/>
      <c r="D849" s="15"/>
      <c r="E849" s="15"/>
      <c r="F849" s="15"/>
      <c r="G849" s="15"/>
      <c r="H849" s="15"/>
      <c r="I849" s="15"/>
      <c r="J849" s="15"/>
      <c r="K849" s="15"/>
      <c r="L849" s="15"/>
      <c r="M849" s="15"/>
      <c r="N849" s="15"/>
      <c r="O849" s="15"/>
      <c r="P849" s="15"/>
    </row>
    <row r="850" spans="1:16" ht="14" customHeight="1" x14ac:dyDescent="0.25">
      <c r="A850" s="156"/>
      <c r="B850" s="11"/>
      <c r="C850" s="15"/>
      <c r="D850" s="15"/>
      <c r="E850" s="15"/>
      <c r="F850" s="15"/>
      <c r="G850" s="15"/>
      <c r="H850" s="15"/>
      <c r="I850" s="15"/>
      <c r="J850" s="15"/>
      <c r="K850" s="15"/>
      <c r="L850" s="15"/>
      <c r="M850" s="15"/>
      <c r="N850" s="15"/>
      <c r="O850" s="15"/>
      <c r="P850" s="15"/>
    </row>
    <row r="851" spans="1:16" ht="14" customHeight="1" x14ac:dyDescent="0.25">
      <c r="A851" s="156"/>
      <c r="B851" s="11" t="s">
        <v>254</v>
      </c>
      <c r="C851" s="11"/>
      <c r="D851" s="11"/>
      <c r="E851" s="11"/>
      <c r="F851" s="11"/>
      <c r="G851" s="11"/>
      <c r="H851" s="11"/>
      <c r="I851" s="15"/>
      <c r="J851" s="15" t="s">
        <v>255</v>
      </c>
      <c r="K851" s="15"/>
      <c r="L851" s="15"/>
      <c r="M851" s="15"/>
      <c r="N851" s="15"/>
      <c r="O851" s="15"/>
      <c r="P851" s="15"/>
    </row>
    <row r="852" spans="1:16" ht="14" customHeight="1" x14ac:dyDescent="0.25">
      <c r="A852" s="156"/>
      <c r="B852" s="11" t="s">
        <v>96</v>
      </c>
      <c r="C852" s="15" t="s">
        <v>123</v>
      </c>
      <c r="D852" s="220">
        <v>44621</v>
      </c>
      <c r="E852" s="220">
        <v>44256</v>
      </c>
      <c r="F852" s="21" t="s">
        <v>34</v>
      </c>
      <c r="G852" s="21" t="s">
        <v>180</v>
      </c>
      <c r="H852" s="21" t="s">
        <v>221</v>
      </c>
      <c r="I852" s="15"/>
      <c r="J852" s="15" t="s">
        <v>256</v>
      </c>
      <c r="K852" s="15" t="s">
        <v>123</v>
      </c>
      <c r="L852" s="221" t="s">
        <v>257</v>
      </c>
      <c r="M852" s="221" t="s">
        <v>258</v>
      </c>
      <c r="N852" s="21" t="s">
        <v>34</v>
      </c>
      <c r="O852" s="26" t="s">
        <v>176</v>
      </c>
      <c r="P852" s="21" t="s">
        <v>221</v>
      </c>
    </row>
    <row r="853" spans="1:16" ht="14" customHeight="1" x14ac:dyDescent="0.25">
      <c r="A853" s="156"/>
      <c r="B853" s="11">
        <v>1</v>
      </c>
      <c r="C853" s="15" t="s">
        <v>98</v>
      </c>
      <c r="D853" s="21">
        <v>14.9</v>
      </c>
      <c r="E853" s="21">
        <v>6.9</v>
      </c>
      <c r="F853" s="51">
        <v>1.157</v>
      </c>
      <c r="G853" s="51">
        <v>0.35899999999999999</v>
      </c>
      <c r="H853" s="51">
        <v>0.29499999999999998</v>
      </c>
      <c r="I853" s="15"/>
      <c r="J853" s="15">
        <v>1</v>
      </c>
      <c r="K853" s="15" t="s">
        <v>98</v>
      </c>
      <c r="L853" s="21">
        <v>33.299999999999997</v>
      </c>
      <c r="M853" s="21">
        <v>14</v>
      </c>
      <c r="N853" s="51">
        <v>1.377</v>
      </c>
      <c r="O853" s="24">
        <v>0.35</v>
      </c>
      <c r="P853" s="51">
        <v>0.28499999999999998</v>
      </c>
    </row>
    <row r="854" spans="1:16" ht="14" customHeight="1" x14ac:dyDescent="0.25">
      <c r="A854" s="156"/>
      <c r="B854" s="11">
        <v>2</v>
      </c>
      <c r="C854" s="15" t="s">
        <v>227</v>
      </c>
      <c r="D854" s="21">
        <v>7.7</v>
      </c>
      <c r="E854" s="21">
        <v>5.5</v>
      </c>
      <c r="F854" s="51">
        <v>0.39400000000000002</v>
      </c>
      <c r="G854" s="51">
        <v>0.186</v>
      </c>
      <c r="H854" s="51">
        <v>0.23599999999999999</v>
      </c>
      <c r="I854" s="15"/>
      <c r="J854" s="15">
        <v>2</v>
      </c>
      <c r="K854" s="15" t="s">
        <v>227</v>
      </c>
      <c r="L854" s="21">
        <v>15.1</v>
      </c>
      <c r="M854" s="21">
        <v>10.9</v>
      </c>
      <c r="N854" s="51">
        <v>0.39100000000000001</v>
      </c>
      <c r="O854" s="24">
        <v>0.159</v>
      </c>
      <c r="P854" s="51">
        <v>0.221</v>
      </c>
    </row>
    <row r="855" spans="1:16" ht="14" customHeight="1" x14ac:dyDescent="0.25">
      <c r="A855" s="156"/>
      <c r="B855" s="11">
        <v>3</v>
      </c>
      <c r="C855" s="15" t="s">
        <v>99</v>
      </c>
      <c r="D855" s="21">
        <v>4.2</v>
      </c>
      <c r="E855" s="21">
        <v>1.5</v>
      </c>
      <c r="F855" s="51">
        <v>1.764</v>
      </c>
      <c r="G855" s="51">
        <v>0.1</v>
      </c>
      <c r="H855" s="51">
        <v>6.4000000000000001E-2</v>
      </c>
      <c r="I855" s="15"/>
      <c r="J855" s="15">
        <v>3</v>
      </c>
      <c r="K855" s="15" t="s">
        <v>99</v>
      </c>
      <c r="L855" s="21">
        <v>10.5</v>
      </c>
      <c r="M855" s="21">
        <v>3.3</v>
      </c>
      <c r="N855" s="51">
        <v>2.2040000000000002</v>
      </c>
      <c r="O855" s="24">
        <v>0.111</v>
      </c>
      <c r="P855" s="51">
        <v>6.7000000000000004E-2</v>
      </c>
    </row>
    <row r="856" spans="1:16" ht="14" customHeight="1" x14ac:dyDescent="0.25">
      <c r="A856" s="156"/>
      <c r="B856" s="11">
        <v>4</v>
      </c>
      <c r="C856" s="15" t="s">
        <v>253</v>
      </c>
      <c r="D856" s="21">
        <v>3.6</v>
      </c>
      <c r="E856" s="21">
        <v>3.7</v>
      </c>
      <c r="F856" s="51">
        <v>-0.03</v>
      </c>
      <c r="G856" s="51">
        <v>8.6999999999999994E-2</v>
      </c>
      <c r="H856" s="51">
        <v>0.158</v>
      </c>
      <c r="I856" s="15"/>
      <c r="J856" s="15">
        <v>4</v>
      </c>
      <c r="K856" s="15" t="s">
        <v>253</v>
      </c>
      <c r="L856" s="21">
        <v>9.4</v>
      </c>
      <c r="M856" s="21">
        <v>8.1999999999999993</v>
      </c>
      <c r="N856" s="51">
        <v>0.14299999999999999</v>
      </c>
      <c r="O856" s="24">
        <v>9.9000000000000005E-2</v>
      </c>
      <c r="P856" s="51">
        <v>0.16700000000000001</v>
      </c>
    </row>
    <row r="857" spans="1:16" ht="14" customHeight="1" x14ac:dyDescent="0.25">
      <c r="A857" s="156"/>
      <c r="B857" s="11">
        <v>5</v>
      </c>
      <c r="C857" s="11" t="s">
        <v>25</v>
      </c>
      <c r="D857" s="21">
        <v>2.6</v>
      </c>
      <c r="E857" s="21">
        <v>1.2</v>
      </c>
      <c r="F857" s="51">
        <v>1.1619999999999999</v>
      </c>
      <c r="G857" s="51">
        <v>6.4000000000000001E-2</v>
      </c>
      <c r="H857" s="51">
        <v>5.1999999999999998E-2</v>
      </c>
      <c r="I857" s="15"/>
      <c r="J857" s="15">
        <v>5</v>
      </c>
      <c r="K857" s="15" t="s">
        <v>25</v>
      </c>
      <c r="L857" s="21">
        <v>6.3</v>
      </c>
      <c r="M857" s="21">
        <v>2.6</v>
      </c>
      <c r="N857" s="51">
        <v>1.419</v>
      </c>
      <c r="O857" s="24">
        <v>6.6000000000000003E-2</v>
      </c>
      <c r="P857" s="51">
        <v>5.2999999999999999E-2</v>
      </c>
    </row>
    <row r="858" spans="1:16" ht="14" customHeight="1" x14ac:dyDescent="0.25">
      <c r="A858" s="156"/>
      <c r="B858" s="11">
        <v>6</v>
      </c>
      <c r="C858" s="15" t="s">
        <v>228</v>
      </c>
      <c r="D858" s="21">
        <v>1.8</v>
      </c>
      <c r="E858" s="21">
        <v>0.5</v>
      </c>
      <c r="F858" s="51">
        <v>2.3820000000000001</v>
      </c>
      <c r="G858" s="51">
        <v>4.3999999999999997E-2</v>
      </c>
      <c r="H858" s="51">
        <v>2.3E-2</v>
      </c>
      <c r="I858" s="15"/>
      <c r="J858" s="15">
        <v>6</v>
      </c>
      <c r="K858" s="11" t="s">
        <v>259</v>
      </c>
      <c r="L858" s="21">
        <v>4.2</v>
      </c>
      <c r="M858" s="21">
        <v>1.4</v>
      </c>
      <c r="N858" s="51">
        <v>2.0870000000000002</v>
      </c>
      <c r="O858" s="24">
        <v>4.3999999999999997E-2</v>
      </c>
      <c r="P858" s="51">
        <v>2.8000000000000001E-2</v>
      </c>
    </row>
    <row r="859" spans="1:16" ht="14" customHeight="1" x14ac:dyDescent="0.25">
      <c r="A859" s="156"/>
      <c r="B859" s="11">
        <v>7</v>
      </c>
      <c r="C859" s="15" t="s">
        <v>173</v>
      </c>
      <c r="D859" s="21">
        <v>1.6</v>
      </c>
      <c r="E859" s="21">
        <v>1.3</v>
      </c>
      <c r="F859" s="51">
        <v>0.2</v>
      </c>
      <c r="G859" s="51">
        <v>3.8899999999999997E-2</v>
      </c>
      <c r="H859" s="51">
        <v>5.6000000000000001E-2</v>
      </c>
      <c r="I859" s="15"/>
      <c r="J859" s="15">
        <v>7</v>
      </c>
      <c r="K859" s="15" t="s">
        <v>173</v>
      </c>
      <c r="L859" s="21">
        <v>3.6</v>
      </c>
      <c r="M859" s="21">
        <v>2.8</v>
      </c>
      <c r="N859" s="51">
        <v>0.26200000000000001</v>
      </c>
      <c r="O859" s="24">
        <v>3.7999999999999999E-2</v>
      </c>
      <c r="P859" s="51">
        <v>5.8000000000000003E-2</v>
      </c>
    </row>
    <row r="860" spans="1:16" ht="14" customHeight="1" x14ac:dyDescent="0.25">
      <c r="A860" s="156"/>
      <c r="B860" s="11">
        <v>8</v>
      </c>
      <c r="C860" s="15" t="s">
        <v>101</v>
      </c>
      <c r="D860" s="21">
        <v>0.9</v>
      </c>
      <c r="E860" s="21">
        <v>0.4</v>
      </c>
      <c r="F860" s="51">
        <v>1.244</v>
      </c>
      <c r="G860" s="51">
        <v>2.1999999999999999E-2</v>
      </c>
      <c r="H860" s="51">
        <v>1.7999999999999999E-2</v>
      </c>
      <c r="I860" s="15"/>
      <c r="J860" s="15">
        <v>8</v>
      </c>
      <c r="K860" s="15" t="s">
        <v>101</v>
      </c>
      <c r="L860" s="21">
        <v>2.6</v>
      </c>
      <c r="M860" s="21">
        <v>0.9</v>
      </c>
      <c r="N860" s="51">
        <v>1.7989999999999999</v>
      </c>
      <c r="O860" s="24">
        <v>2.7E-2</v>
      </c>
      <c r="P860" s="51">
        <v>1.9E-2</v>
      </c>
    </row>
    <row r="861" spans="1:16" ht="14" customHeight="1" x14ac:dyDescent="0.25">
      <c r="A861" s="156"/>
      <c r="B861" s="11">
        <v>9</v>
      </c>
      <c r="C861" s="15" t="s">
        <v>104</v>
      </c>
      <c r="D861" s="21">
        <v>0.5</v>
      </c>
      <c r="E861" s="21">
        <v>0.2</v>
      </c>
      <c r="F861" s="51">
        <v>1.1339999999999999</v>
      </c>
      <c r="G861" s="51">
        <v>1.2E-2</v>
      </c>
      <c r="H861" s="51">
        <v>0.01</v>
      </c>
      <c r="I861" s="15"/>
      <c r="J861" s="15">
        <v>9</v>
      </c>
      <c r="K861" s="15" t="s">
        <v>104</v>
      </c>
      <c r="L861" s="21">
        <v>1.3</v>
      </c>
      <c r="M861" s="21">
        <v>0.5</v>
      </c>
      <c r="N861" s="51">
        <v>1.375</v>
      </c>
      <c r="O861" s="24">
        <v>1.2999999999999999E-2</v>
      </c>
      <c r="P861" s="51">
        <v>1.0999999999999999E-2</v>
      </c>
    </row>
    <row r="862" spans="1:16" ht="14" customHeight="1" x14ac:dyDescent="0.25">
      <c r="A862" s="156"/>
      <c r="B862" s="15">
        <v>10</v>
      </c>
      <c r="C862" s="15" t="s">
        <v>103</v>
      </c>
      <c r="D862" s="21">
        <v>0.5</v>
      </c>
      <c r="E862" s="21">
        <v>0.2</v>
      </c>
      <c r="F862" s="51">
        <v>1.2649999999999999</v>
      </c>
      <c r="G862" s="51">
        <v>1.0999999999999999E-2</v>
      </c>
      <c r="H862" s="51">
        <v>8.9999999999999993E-3</v>
      </c>
      <c r="I862" s="15"/>
      <c r="J862" s="15">
        <v>10</v>
      </c>
      <c r="K862" s="15" t="s">
        <v>103</v>
      </c>
      <c r="L862" s="21">
        <v>1.1000000000000001</v>
      </c>
      <c r="M862" s="21">
        <v>0.5</v>
      </c>
      <c r="N862" s="51">
        <v>1.3240000000000001</v>
      </c>
      <c r="O862" s="24">
        <v>1.2E-2</v>
      </c>
      <c r="P862" s="51">
        <v>0.01</v>
      </c>
    </row>
    <row r="863" spans="1:16" ht="14" customHeight="1" x14ac:dyDescent="0.25">
      <c r="A863" s="156"/>
      <c r="B863" s="15" t="s">
        <v>207</v>
      </c>
      <c r="C863" s="15"/>
      <c r="D863" s="21">
        <v>3.1</v>
      </c>
      <c r="E863" s="21">
        <v>1.8</v>
      </c>
      <c r="F863" s="51">
        <v>0.70399999999999996</v>
      </c>
      <c r="G863" s="51">
        <v>7.4999999999999997E-2</v>
      </c>
      <c r="H863" s="51">
        <v>7.8E-2</v>
      </c>
      <c r="I863" s="15"/>
      <c r="J863" s="15" t="s">
        <v>105</v>
      </c>
      <c r="K863" s="15"/>
      <c r="L863" s="21">
        <v>7.8</v>
      </c>
      <c r="M863" s="21">
        <v>4.0999999999999996</v>
      </c>
      <c r="N863" s="51">
        <v>0.89500000000000002</v>
      </c>
      <c r="O863" s="24">
        <v>8.2000000000000003E-2</v>
      </c>
      <c r="P863" s="51">
        <v>8.3000000000000004E-2</v>
      </c>
    </row>
    <row r="864" spans="1:16" ht="14" customHeight="1" x14ac:dyDescent="0.25">
      <c r="A864" s="156"/>
      <c r="B864" s="15" t="s">
        <v>130</v>
      </c>
      <c r="C864" s="15"/>
      <c r="D864" s="15">
        <v>41.4</v>
      </c>
      <c r="E864" s="15">
        <v>23.4</v>
      </c>
      <c r="F864" s="17">
        <v>0.77</v>
      </c>
      <c r="G864" s="17">
        <v>1</v>
      </c>
      <c r="H864" s="17">
        <v>1</v>
      </c>
      <c r="I864" s="15"/>
      <c r="J864" s="15" t="s">
        <v>130</v>
      </c>
      <c r="K864" s="15"/>
      <c r="L864" s="15">
        <v>95.1</v>
      </c>
      <c r="M864" s="15">
        <v>49.2</v>
      </c>
      <c r="N864" s="17">
        <v>0.93300000000000005</v>
      </c>
      <c r="O864" s="17">
        <v>1</v>
      </c>
      <c r="P864" s="17">
        <v>1</v>
      </c>
    </row>
    <row r="865" spans="1:16" ht="14" customHeight="1" x14ac:dyDescent="0.25">
      <c r="A865" s="156"/>
      <c r="B865" s="11"/>
      <c r="C865" s="15"/>
      <c r="D865" s="15"/>
      <c r="E865" s="15"/>
      <c r="F865" s="15"/>
      <c r="G865" s="15"/>
      <c r="H865" s="15"/>
      <c r="I865" s="15"/>
      <c r="J865" s="15"/>
      <c r="K865" s="15"/>
      <c r="L865" s="15"/>
      <c r="M865" s="15"/>
      <c r="N865" s="15"/>
      <c r="O865" s="15"/>
      <c r="P865" s="15"/>
    </row>
    <row r="866" spans="1:16" ht="14" customHeight="1" x14ac:dyDescent="0.25">
      <c r="A866" s="156"/>
      <c r="B866" s="11" t="s">
        <v>260</v>
      </c>
      <c r="C866" s="11"/>
      <c r="D866" s="11"/>
      <c r="E866" s="11"/>
      <c r="F866" s="11"/>
      <c r="G866" s="11"/>
      <c r="H866" s="11"/>
      <c r="I866" s="15"/>
      <c r="J866" s="15" t="s">
        <v>261</v>
      </c>
      <c r="K866" s="15"/>
      <c r="L866" s="15"/>
      <c r="M866" s="15"/>
      <c r="N866" s="15"/>
      <c r="O866" s="15"/>
      <c r="P866" s="15"/>
    </row>
    <row r="867" spans="1:16" ht="14" customHeight="1" x14ac:dyDescent="0.25">
      <c r="A867" s="156"/>
      <c r="B867" s="11" t="s">
        <v>96</v>
      </c>
      <c r="C867" s="15" t="s">
        <v>123</v>
      </c>
      <c r="D867" s="220">
        <v>44593</v>
      </c>
      <c r="E867" s="220">
        <v>44228</v>
      </c>
      <c r="F867" s="21" t="s">
        <v>34</v>
      </c>
      <c r="G867" s="21" t="s">
        <v>180</v>
      </c>
      <c r="H867" s="21" t="s">
        <v>221</v>
      </c>
      <c r="I867" s="15"/>
      <c r="J867" s="15" t="s">
        <v>256</v>
      </c>
      <c r="K867" s="15" t="s">
        <v>123</v>
      </c>
      <c r="L867" s="221" t="s">
        <v>262</v>
      </c>
      <c r="M867" s="221" t="s">
        <v>263</v>
      </c>
      <c r="N867" s="21" t="s">
        <v>34</v>
      </c>
      <c r="O867" s="21" t="s">
        <v>180</v>
      </c>
      <c r="P867" s="21" t="s">
        <v>221</v>
      </c>
    </row>
    <row r="868" spans="1:16" ht="14" customHeight="1" x14ac:dyDescent="0.25">
      <c r="A868" s="156"/>
      <c r="B868" s="11">
        <v>1</v>
      </c>
      <c r="C868" s="15" t="s">
        <v>98</v>
      </c>
      <c r="D868" s="21">
        <v>8.3000000000000007</v>
      </c>
      <c r="E868" s="21">
        <v>2.9</v>
      </c>
      <c r="F868" s="51">
        <v>1.921</v>
      </c>
      <c r="G868" s="51">
        <v>0.32200000000000001</v>
      </c>
      <c r="H868" s="51">
        <v>0.246</v>
      </c>
      <c r="I868" s="15"/>
      <c r="J868" s="15">
        <v>1</v>
      </c>
      <c r="K868" s="15" t="s">
        <v>98</v>
      </c>
      <c r="L868" s="21">
        <v>18.399999999999999</v>
      </c>
      <c r="M868" s="21">
        <v>7.1</v>
      </c>
      <c r="N868" s="51">
        <v>1.585</v>
      </c>
      <c r="O868" s="51">
        <v>0.34399999999999997</v>
      </c>
      <c r="P868" s="51">
        <v>0.27500000000000002</v>
      </c>
    </row>
    <row r="869" spans="1:16" ht="14" customHeight="1" x14ac:dyDescent="0.25">
      <c r="A869" s="156"/>
      <c r="B869" s="11">
        <v>2</v>
      </c>
      <c r="C869" s="15" t="s">
        <v>227</v>
      </c>
      <c r="D869" s="21">
        <v>4.0999999999999996</v>
      </c>
      <c r="E869" s="21">
        <v>3</v>
      </c>
      <c r="F869" s="51">
        <v>0.36399999999999999</v>
      </c>
      <c r="G869" s="51">
        <v>0.158</v>
      </c>
      <c r="H869" s="51">
        <v>0.25900000000000001</v>
      </c>
      <c r="I869" s="15"/>
      <c r="J869" s="15">
        <v>2</v>
      </c>
      <c r="K869" s="15" t="s">
        <v>227</v>
      </c>
      <c r="L869" s="21">
        <v>7.4</v>
      </c>
      <c r="M869" s="21">
        <v>5.4</v>
      </c>
      <c r="N869" s="51">
        <v>0.376</v>
      </c>
      <c r="O869" s="51">
        <v>0.13800000000000001</v>
      </c>
      <c r="P869" s="51">
        <v>0.20699999999999999</v>
      </c>
    </row>
    <row r="870" spans="1:16" ht="14" customHeight="1" x14ac:dyDescent="0.25">
      <c r="A870" s="156"/>
      <c r="B870" s="11">
        <v>3</v>
      </c>
      <c r="C870" s="15" t="s">
        <v>253</v>
      </c>
      <c r="D870" s="21">
        <v>3</v>
      </c>
      <c r="E870" s="21">
        <v>2</v>
      </c>
      <c r="F870" s="51">
        <v>0.499</v>
      </c>
      <c r="G870" s="51">
        <v>0.11700000000000001</v>
      </c>
      <c r="H870" s="51">
        <v>0.17499999999999999</v>
      </c>
      <c r="I870" s="15"/>
      <c r="J870" s="15">
        <v>3</v>
      </c>
      <c r="K870" s="15" t="s">
        <v>99</v>
      </c>
      <c r="L870" s="21">
        <v>6.4</v>
      </c>
      <c r="M870" s="21">
        <v>1.8</v>
      </c>
      <c r="N870" s="51">
        <v>2.5680000000000001</v>
      </c>
      <c r="O870" s="51">
        <v>0.11899999999999999</v>
      </c>
      <c r="P870" s="51">
        <v>6.9000000000000006E-2</v>
      </c>
    </row>
    <row r="871" spans="1:16" ht="14" customHeight="1" x14ac:dyDescent="0.25">
      <c r="A871" s="156"/>
      <c r="B871" s="11">
        <v>4</v>
      </c>
      <c r="C871" s="15" t="s">
        <v>99</v>
      </c>
      <c r="D871" s="21">
        <v>3</v>
      </c>
      <c r="E871" s="21">
        <v>0.6</v>
      </c>
      <c r="F871" s="51">
        <v>4.1120000000000001</v>
      </c>
      <c r="G871" s="51">
        <v>0.115</v>
      </c>
      <c r="H871" s="51">
        <v>0.05</v>
      </c>
      <c r="I871" s="15"/>
      <c r="J871" s="15">
        <v>4</v>
      </c>
      <c r="K871" s="15" t="s">
        <v>253</v>
      </c>
      <c r="L871" s="21">
        <v>5.8</v>
      </c>
      <c r="M871" s="21">
        <v>4.5</v>
      </c>
      <c r="N871" s="51">
        <v>0.28599999999999998</v>
      </c>
      <c r="O871" s="51">
        <v>0.108</v>
      </c>
      <c r="P871" s="51">
        <v>0.17399999999999999</v>
      </c>
    </row>
    <row r="872" spans="1:16" ht="14" customHeight="1" x14ac:dyDescent="0.25">
      <c r="A872" s="156"/>
      <c r="B872" s="11">
        <v>5</v>
      </c>
      <c r="C872" s="11" t="s">
        <v>25</v>
      </c>
      <c r="D872" s="21">
        <v>2.1</v>
      </c>
      <c r="E872" s="21">
        <v>0.8</v>
      </c>
      <c r="F872" s="51">
        <v>1.6739999999999999</v>
      </c>
      <c r="G872" s="51">
        <v>0.08</v>
      </c>
      <c r="H872" s="51">
        <v>6.7000000000000004E-2</v>
      </c>
      <c r="I872" s="15"/>
      <c r="J872" s="15">
        <v>5</v>
      </c>
      <c r="K872" s="15" t="s">
        <v>25</v>
      </c>
      <c r="L872" s="21">
        <v>3.5</v>
      </c>
      <c r="M872" s="21">
        <v>1.4</v>
      </c>
      <c r="N872" s="51">
        <v>1.522</v>
      </c>
      <c r="O872" s="51">
        <v>6.5000000000000002E-2</v>
      </c>
      <c r="P872" s="51">
        <v>5.3999999999999999E-2</v>
      </c>
    </row>
    <row r="873" spans="1:16" ht="14" customHeight="1" x14ac:dyDescent="0.25">
      <c r="A873" s="156"/>
      <c r="B873" s="11">
        <v>6</v>
      </c>
      <c r="C873" s="15" t="s">
        <v>228</v>
      </c>
      <c r="D873" s="21">
        <v>1.1000000000000001</v>
      </c>
      <c r="E873" s="21">
        <v>0.3</v>
      </c>
      <c r="F873" s="51">
        <v>2.863</v>
      </c>
      <c r="G873" s="51">
        <v>4.3999999999999997E-2</v>
      </c>
      <c r="H873" s="51">
        <v>2.5000000000000001E-2</v>
      </c>
      <c r="I873" s="15"/>
      <c r="J873" s="15">
        <v>6</v>
      </c>
      <c r="K873" s="11" t="s">
        <v>259</v>
      </c>
      <c r="L873" s="21">
        <v>2.4</v>
      </c>
      <c r="M873" s="21">
        <v>0.8</v>
      </c>
      <c r="N873" s="51">
        <v>1.891</v>
      </c>
      <c r="O873" s="51">
        <v>4.3999999999999997E-2</v>
      </c>
      <c r="P873" s="51">
        <v>3.2000000000000001E-2</v>
      </c>
    </row>
    <row r="874" spans="1:16" ht="14" customHeight="1" x14ac:dyDescent="0.25">
      <c r="A874" s="156"/>
      <c r="B874" s="11">
        <v>7</v>
      </c>
      <c r="C874" s="15" t="s">
        <v>173</v>
      </c>
      <c r="D874" s="21">
        <v>1</v>
      </c>
      <c r="E874" s="21">
        <v>0.8</v>
      </c>
      <c r="F874" s="51">
        <v>0.252</v>
      </c>
      <c r="G874" s="51">
        <v>3.6999999999999998E-2</v>
      </c>
      <c r="H874" s="51">
        <v>6.6000000000000003E-2</v>
      </c>
      <c r="I874" s="15"/>
      <c r="J874" s="15">
        <v>7</v>
      </c>
      <c r="K874" s="15" t="s">
        <v>173</v>
      </c>
      <c r="L874" s="21">
        <v>2</v>
      </c>
      <c r="M874" s="21">
        <v>1.5</v>
      </c>
      <c r="N874" s="51">
        <v>0.307</v>
      </c>
      <c r="O874" s="51">
        <v>3.7999999999999999E-2</v>
      </c>
      <c r="P874" s="51">
        <v>0.06</v>
      </c>
    </row>
    <row r="875" spans="1:16" ht="14" customHeight="1" x14ac:dyDescent="0.25">
      <c r="A875" s="156"/>
      <c r="B875" s="11">
        <v>8</v>
      </c>
      <c r="C875" s="15" t="s">
        <v>101</v>
      </c>
      <c r="D875" s="21">
        <v>0.7</v>
      </c>
      <c r="E875" s="21">
        <v>0.2</v>
      </c>
      <c r="F875" s="51">
        <v>3.1749999999999998</v>
      </c>
      <c r="G875" s="51">
        <v>2.7E-2</v>
      </c>
      <c r="H875" s="51">
        <v>1.4E-2</v>
      </c>
      <c r="I875" s="15"/>
      <c r="J875" s="15">
        <v>8</v>
      </c>
      <c r="K875" s="15" t="s">
        <v>101</v>
      </c>
      <c r="L875" s="21">
        <v>1.6</v>
      </c>
      <c r="M875" s="21">
        <v>0.5</v>
      </c>
      <c r="N875" s="51">
        <v>2.2519999999999998</v>
      </c>
      <c r="O875" s="51">
        <v>3.1E-2</v>
      </c>
      <c r="P875" s="51">
        <v>0.02</v>
      </c>
    </row>
    <row r="876" spans="1:16" ht="14" customHeight="1" x14ac:dyDescent="0.25">
      <c r="A876" s="156"/>
      <c r="B876" s="11">
        <v>9</v>
      </c>
      <c r="C876" s="15" t="s">
        <v>104</v>
      </c>
      <c r="D876" s="21">
        <v>0.3</v>
      </c>
      <c r="E876" s="21">
        <v>0.1</v>
      </c>
      <c r="F876" s="51">
        <v>1.7569999999999999</v>
      </c>
      <c r="G876" s="51">
        <v>1.2999999999999999E-2</v>
      </c>
      <c r="H876" s="51">
        <v>0.01</v>
      </c>
      <c r="I876" s="15"/>
      <c r="J876" s="15">
        <v>9</v>
      </c>
      <c r="K876" s="15" t="s">
        <v>104</v>
      </c>
      <c r="L876" s="21">
        <v>0.8</v>
      </c>
      <c r="M876" s="21">
        <v>0.3</v>
      </c>
      <c r="N876" s="51">
        <v>1.5660000000000001</v>
      </c>
      <c r="O876" s="51">
        <v>1.4E-2</v>
      </c>
      <c r="P876" s="51">
        <v>1.2E-2</v>
      </c>
    </row>
    <row r="877" spans="1:16" ht="14" customHeight="1" x14ac:dyDescent="0.25">
      <c r="A877" s="156"/>
      <c r="B877" s="15">
        <v>10</v>
      </c>
      <c r="C877" s="15" t="s">
        <v>264</v>
      </c>
      <c r="D877" s="21">
        <v>0.3</v>
      </c>
      <c r="E877" s="21">
        <v>0.3</v>
      </c>
      <c r="F877" s="51">
        <v>0.16600000000000001</v>
      </c>
      <c r="G877" s="51">
        <v>1.2E-2</v>
      </c>
      <c r="H877" s="51">
        <v>2.4E-2</v>
      </c>
      <c r="I877" s="15"/>
      <c r="J877" s="15">
        <v>10</v>
      </c>
      <c r="K877" s="15" t="s">
        <v>103</v>
      </c>
      <c r="L877" s="21">
        <v>0.6</v>
      </c>
      <c r="M877" s="21">
        <v>0.3</v>
      </c>
      <c r="N877" s="51">
        <v>1.365</v>
      </c>
      <c r="O877" s="51">
        <v>1.2E-2</v>
      </c>
      <c r="P877" s="51">
        <v>0.01</v>
      </c>
    </row>
    <row r="878" spans="1:16" ht="14" customHeight="1" x14ac:dyDescent="0.25">
      <c r="A878" s="156"/>
      <c r="B878" s="15" t="s">
        <v>207</v>
      </c>
      <c r="C878" s="15"/>
      <c r="D878" s="21">
        <v>2</v>
      </c>
      <c r="E878" s="21">
        <v>0.7</v>
      </c>
      <c r="F878" s="51">
        <v>1.637</v>
      </c>
      <c r="G878" s="51">
        <v>7.5999999999999998E-2</v>
      </c>
      <c r="H878" s="51">
        <v>6.4000000000000001E-2</v>
      </c>
      <c r="I878" s="15"/>
      <c r="J878" s="15" t="s">
        <v>207</v>
      </c>
      <c r="K878" s="15"/>
      <c r="L878" s="21">
        <v>4.7</v>
      </c>
      <c r="M878" s="21">
        <v>2.2999999999999998</v>
      </c>
      <c r="N878" s="51">
        <v>1.0449999999999999</v>
      </c>
      <c r="O878" s="51">
        <v>8.6999999999999994E-2</v>
      </c>
      <c r="P878" s="51">
        <v>8.7999999999999995E-2</v>
      </c>
    </row>
    <row r="879" spans="1:16" ht="14" customHeight="1" x14ac:dyDescent="0.25">
      <c r="A879" s="156"/>
      <c r="B879" s="15" t="s">
        <v>130</v>
      </c>
      <c r="C879" s="15"/>
      <c r="D879" s="15">
        <v>25.9</v>
      </c>
      <c r="E879" s="15">
        <v>11.6</v>
      </c>
      <c r="F879" s="17">
        <v>1.2330000000000001</v>
      </c>
      <c r="G879" s="17">
        <v>1</v>
      </c>
      <c r="H879" s="17">
        <v>1</v>
      </c>
      <c r="I879" s="15"/>
      <c r="J879" s="15" t="s">
        <v>130</v>
      </c>
      <c r="K879" s="15"/>
      <c r="L879" s="15">
        <v>53.5</v>
      </c>
      <c r="M879" s="15">
        <v>25.8</v>
      </c>
      <c r="N879" s="17">
        <v>1.069</v>
      </c>
      <c r="O879" s="17">
        <v>1</v>
      </c>
      <c r="P879" s="17">
        <v>1</v>
      </c>
    </row>
    <row r="880" spans="1:16" ht="14" customHeight="1" x14ac:dyDescent="0.25">
      <c r="A880" s="156"/>
      <c r="B880" s="11"/>
      <c r="C880" s="15"/>
      <c r="D880" s="15"/>
      <c r="E880" s="15"/>
      <c r="F880" s="15"/>
      <c r="G880" s="15"/>
      <c r="H880" s="15"/>
      <c r="I880" s="15"/>
      <c r="J880" s="15"/>
      <c r="K880" s="15"/>
      <c r="L880" s="15"/>
      <c r="M880" s="15"/>
      <c r="N880" s="15"/>
      <c r="O880" s="15"/>
      <c r="P880" s="15"/>
    </row>
    <row r="881" spans="1:16" ht="14" customHeight="1" x14ac:dyDescent="0.25">
      <c r="A881" s="156"/>
      <c r="B881" s="11" t="s">
        <v>265</v>
      </c>
      <c r="C881" s="11"/>
      <c r="D881" s="11"/>
      <c r="E881" s="11"/>
      <c r="F881" s="11"/>
      <c r="G881" s="11"/>
      <c r="H881" s="11"/>
      <c r="I881" s="15"/>
      <c r="J881" s="15"/>
      <c r="K881" s="15"/>
      <c r="L881" s="15"/>
      <c r="M881" s="15"/>
      <c r="N881" s="15"/>
      <c r="O881" s="15"/>
      <c r="P881" s="15"/>
    </row>
    <row r="882" spans="1:16" ht="14" customHeight="1" x14ac:dyDescent="0.25">
      <c r="A882" s="156"/>
      <c r="B882" s="11" t="s">
        <v>96</v>
      </c>
      <c r="C882" s="15" t="s">
        <v>123</v>
      </c>
      <c r="D882" s="19">
        <v>44562</v>
      </c>
      <c r="E882" s="19">
        <v>44197</v>
      </c>
      <c r="F882" s="26" t="s">
        <v>34</v>
      </c>
      <c r="G882" s="15" t="s">
        <v>176</v>
      </c>
      <c r="H882" s="15" t="s">
        <v>217</v>
      </c>
      <c r="I882" s="15"/>
      <c r="J882" s="15"/>
      <c r="K882" s="15"/>
      <c r="L882" s="15"/>
      <c r="M882" s="15"/>
      <c r="N882" s="15"/>
      <c r="O882" s="15"/>
      <c r="P882" s="15"/>
    </row>
    <row r="883" spans="1:16" ht="14" customHeight="1" x14ac:dyDescent="0.25">
      <c r="A883" s="156"/>
      <c r="B883" s="11">
        <v>1</v>
      </c>
      <c r="C883" s="15" t="s">
        <v>98</v>
      </c>
      <c r="D883" s="15">
        <v>10.1</v>
      </c>
      <c r="E883" s="15">
        <v>4.2</v>
      </c>
      <c r="F883" s="24">
        <v>1.40476190476191</v>
      </c>
      <c r="G883" s="17">
        <v>0.36594202898550698</v>
      </c>
      <c r="H883" s="17">
        <v>0.29577464788732399</v>
      </c>
      <c r="I883" s="15"/>
      <c r="J883" s="15"/>
      <c r="K883" s="15"/>
      <c r="L883" s="15"/>
      <c r="M883" s="15"/>
      <c r="N883" s="15"/>
      <c r="O883" s="15"/>
      <c r="P883" s="15"/>
    </row>
    <row r="884" spans="1:16" ht="14" customHeight="1" x14ac:dyDescent="0.25">
      <c r="A884" s="156"/>
      <c r="B884" s="11">
        <v>2</v>
      </c>
      <c r="C884" s="15" t="s">
        <v>99</v>
      </c>
      <c r="D884" s="15">
        <v>3.4</v>
      </c>
      <c r="E884" s="15">
        <v>1.2</v>
      </c>
      <c r="F884" s="24">
        <v>1.8333333333333299</v>
      </c>
      <c r="G884" s="17">
        <v>0.123188405797101</v>
      </c>
      <c r="H884" s="17">
        <v>8.4507042253521097E-2</v>
      </c>
      <c r="I884" s="15"/>
      <c r="J884" s="15"/>
      <c r="K884" s="15"/>
      <c r="L884" s="15"/>
      <c r="M884" s="15"/>
      <c r="N884" s="15"/>
      <c r="O884" s="15"/>
      <c r="P884" s="15"/>
    </row>
    <row r="885" spans="1:16" ht="14" customHeight="1" x14ac:dyDescent="0.25">
      <c r="A885" s="156"/>
      <c r="B885" s="11">
        <v>3</v>
      </c>
      <c r="C885" s="15" t="s">
        <v>227</v>
      </c>
      <c r="D885" s="15">
        <v>3.3</v>
      </c>
      <c r="E885" s="15">
        <v>2.4</v>
      </c>
      <c r="F885" s="24">
        <v>0.375</v>
      </c>
      <c r="G885" s="17">
        <v>0.119565217391304</v>
      </c>
      <c r="H885" s="17">
        <v>0.169014084507042</v>
      </c>
      <c r="I885" s="15"/>
      <c r="J885" s="15"/>
      <c r="K885" s="15"/>
      <c r="L885" s="15"/>
      <c r="M885" s="15"/>
      <c r="N885" s="15"/>
      <c r="O885" s="15"/>
      <c r="P885" s="15"/>
    </row>
    <row r="886" spans="1:16" ht="14" customHeight="1" x14ac:dyDescent="0.25">
      <c r="A886" s="156"/>
      <c r="B886" s="11">
        <v>4</v>
      </c>
      <c r="C886" s="15" t="s">
        <v>253</v>
      </c>
      <c r="D886" s="15">
        <v>2.8</v>
      </c>
      <c r="E886" s="15">
        <v>2.5</v>
      </c>
      <c r="F886" s="24">
        <v>0.12</v>
      </c>
      <c r="G886" s="17">
        <v>0.101449275362319</v>
      </c>
      <c r="H886" s="17">
        <v>0.176056338028169</v>
      </c>
      <c r="I886" s="15"/>
      <c r="J886" s="15"/>
      <c r="K886" s="15"/>
      <c r="L886" s="15"/>
      <c r="M886" s="15"/>
      <c r="N886" s="15"/>
      <c r="O886" s="15"/>
      <c r="P886" s="15"/>
    </row>
    <row r="887" spans="1:16" ht="14" customHeight="1" x14ac:dyDescent="0.25">
      <c r="A887" s="156"/>
      <c r="B887" s="11">
        <v>5</v>
      </c>
      <c r="C887" s="11" t="s">
        <v>25</v>
      </c>
      <c r="D887" s="15">
        <v>1.4</v>
      </c>
      <c r="E887" s="15">
        <v>0.6</v>
      </c>
      <c r="F887" s="24">
        <v>1.3333333333333299</v>
      </c>
      <c r="G887" s="17">
        <v>5.0724637681159403E-2</v>
      </c>
      <c r="H887" s="17">
        <v>4.22535211267605E-2</v>
      </c>
      <c r="I887" s="15"/>
      <c r="J887" s="15"/>
      <c r="K887" s="15"/>
      <c r="L887" s="15"/>
      <c r="M887" s="15"/>
      <c r="N887" s="15"/>
      <c r="O887" s="15"/>
      <c r="P887" s="15"/>
    </row>
    <row r="888" spans="1:16" ht="14" customHeight="1" x14ac:dyDescent="0.25">
      <c r="A888" s="156"/>
      <c r="B888" s="11">
        <v>6</v>
      </c>
      <c r="C888" s="15" t="s">
        <v>228</v>
      </c>
      <c r="D888" s="15">
        <v>1.3</v>
      </c>
      <c r="E888" s="15">
        <v>0.5</v>
      </c>
      <c r="F888" s="24">
        <v>1.6</v>
      </c>
      <c r="G888" s="17">
        <v>4.7101449275362299E-2</v>
      </c>
      <c r="H888" s="17">
        <v>3.5211267605633798E-2</v>
      </c>
      <c r="I888" s="15"/>
      <c r="J888" s="15"/>
      <c r="K888" s="15"/>
      <c r="L888" s="15"/>
      <c r="M888" s="15"/>
      <c r="N888" s="15"/>
      <c r="O888" s="15"/>
      <c r="P888" s="15"/>
    </row>
    <row r="889" spans="1:16" ht="14" customHeight="1" x14ac:dyDescent="0.25">
      <c r="A889" s="156"/>
      <c r="B889" s="11">
        <v>7</v>
      </c>
      <c r="C889" s="15" t="s">
        <v>173</v>
      </c>
      <c r="D889" s="15">
        <v>0.9</v>
      </c>
      <c r="E889" s="15">
        <v>0.7</v>
      </c>
      <c r="F889" s="24">
        <v>0.28571428571428598</v>
      </c>
      <c r="G889" s="17">
        <v>3.2608695652173898E-2</v>
      </c>
      <c r="H889" s="17">
        <v>4.92957746478873E-2</v>
      </c>
      <c r="I889" s="15"/>
      <c r="J889" s="15"/>
      <c r="K889" s="15"/>
      <c r="L889" s="15"/>
      <c r="M889" s="15"/>
      <c r="N889" s="15"/>
      <c r="O889" s="15"/>
      <c r="P889" s="15"/>
    </row>
    <row r="890" spans="1:16" ht="14" customHeight="1" x14ac:dyDescent="0.25">
      <c r="A890" s="156"/>
      <c r="B890" s="11">
        <v>8</v>
      </c>
      <c r="C890" s="15" t="s">
        <v>101</v>
      </c>
      <c r="D890" s="15">
        <v>0.9</v>
      </c>
      <c r="E890" s="15">
        <v>0.3</v>
      </c>
      <c r="F890" s="24">
        <v>2</v>
      </c>
      <c r="G890" s="17">
        <v>3.2608695652173898E-2</v>
      </c>
      <c r="H890" s="17">
        <v>2.1126760563380299E-2</v>
      </c>
      <c r="I890" s="15"/>
      <c r="J890" s="15"/>
      <c r="K890" s="15"/>
      <c r="L890" s="15"/>
      <c r="M890" s="15"/>
      <c r="N890" s="15"/>
      <c r="O890" s="15"/>
      <c r="P890" s="15"/>
    </row>
    <row r="891" spans="1:16" ht="14" customHeight="1" x14ac:dyDescent="0.25">
      <c r="A891" s="156"/>
      <c r="B891" s="15">
        <v>9</v>
      </c>
      <c r="C891" s="15" t="s">
        <v>104</v>
      </c>
      <c r="D891" s="15">
        <v>0.4</v>
      </c>
      <c r="E891" s="15">
        <v>0.2</v>
      </c>
      <c r="F891" s="24">
        <v>1</v>
      </c>
      <c r="G891" s="17">
        <v>1.4492753623188401E-2</v>
      </c>
      <c r="H891" s="17">
        <v>1.4084507042253501E-2</v>
      </c>
      <c r="I891" s="15"/>
      <c r="J891" s="15"/>
      <c r="K891" s="15"/>
      <c r="L891" s="15"/>
      <c r="M891" s="15"/>
      <c r="N891" s="15"/>
      <c r="O891" s="15"/>
      <c r="P891" s="15"/>
    </row>
    <row r="892" spans="1:16" ht="14" customHeight="1" x14ac:dyDescent="0.25">
      <c r="A892" s="156"/>
      <c r="B892" s="15" t="s">
        <v>207</v>
      </c>
      <c r="C892" s="15"/>
      <c r="D892" s="15">
        <v>3.1</v>
      </c>
      <c r="E892" s="15">
        <v>1.6</v>
      </c>
      <c r="F892" s="24">
        <v>0.9375</v>
      </c>
      <c r="G892" s="17">
        <v>0.11231884057971001</v>
      </c>
      <c r="H892" s="17">
        <v>0.11267605633802801</v>
      </c>
      <c r="I892" s="15"/>
      <c r="J892" s="15"/>
      <c r="K892" s="15"/>
      <c r="L892" s="15"/>
      <c r="M892" s="15"/>
      <c r="N892" s="15"/>
      <c r="O892" s="15"/>
      <c r="P892" s="15"/>
    </row>
    <row r="893" spans="1:16" ht="14" customHeight="1" x14ac:dyDescent="0.25">
      <c r="A893" s="156"/>
      <c r="B893" s="15" t="s">
        <v>130</v>
      </c>
      <c r="C893" s="15"/>
      <c r="D893" s="15">
        <v>27.6</v>
      </c>
      <c r="E893" s="15">
        <v>14.2</v>
      </c>
      <c r="F893" s="17">
        <v>0.94366197183098599</v>
      </c>
      <c r="G893" s="17">
        <v>1</v>
      </c>
      <c r="H893" s="17">
        <v>1</v>
      </c>
      <c r="I893" s="15"/>
      <c r="J893" s="15"/>
      <c r="K893" s="15"/>
      <c r="L893" s="15"/>
      <c r="M893" s="15"/>
      <c r="N893" s="15"/>
      <c r="O893" s="15"/>
      <c r="P893" s="15"/>
    </row>
    <row r="894" spans="1:16" ht="14" customHeight="1" x14ac:dyDescent="0.25">
      <c r="A894" s="156"/>
      <c r="B894" s="15"/>
      <c r="C894" s="15"/>
      <c r="D894" s="15"/>
      <c r="E894" s="15"/>
      <c r="F894" s="15"/>
      <c r="G894" s="15"/>
      <c r="H894" s="15"/>
      <c r="I894" s="15"/>
      <c r="J894" s="15"/>
      <c r="K894" s="15"/>
      <c r="L894" s="15"/>
      <c r="M894" s="15"/>
      <c r="N894" s="15"/>
      <c r="O894" s="15"/>
      <c r="P894" s="15"/>
    </row>
    <row r="895" spans="1:16" ht="14" customHeight="1" x14ac:dyDescent="0.25">
      <c r="A895" s="156"/>
      <c r="B895" s="11"/>
      <c r="C895" s="15"/>
      <c r="D895" s="15"/>
      <c r="E895" s="15"/>
      <c r="F895" s="15"/>
      <c r="G895" s="15"/>
      <c r="H895" s="15"/>
      <c r="I895" s="15"/>
      <c r="J895" s="15"/>
      <c r="K895" s="15"/>
      <c r="L895" s="15"/>
      <c r="M895" s="15"/>
      <c r="N895" s="15"/>
      <c r="O895" s="15"/>
      <c r="P895" s="15"/>
    </row>
    <row r="896" spans="1:16" ht="14" customHeight="1" x14ac:dyDescent="0.25">
      <c r="A896" s="156"/>
      <c r="B896" s="11" t="s">
        <v>266</v>
      </c>
      <c r="C896" s="11"/>
      <c r="D896" s="11"/>
      <c r="E896" s="11"/>
      <c r="F896" s="11"/>
      <c r="G896" s="11"/>
      <c r="H896" s="11"/>
      <c r="I896" s="15"/>
      <c r="J896" s="15" t="s">
        <v>267</v>
      </c>
      <c r="K896" s="15"/>
      <c r="L896" s="15"/>
      <c r="M896" s="15"/>
      <c r="N896" s="15"/>
      <c r="O896" s="15"/>
      <c r="P896" s="15"/>
    </row>
    <row r="897" spans="1:16" ht="14" customHeight="1" x14ac:dyDescent="0.25">
      <c r="A897" s="156"/>
      <c r="B897" s="11" t="s">
        <v>96</v>
      </c>
      <c r="C897" s="15" t="s">
        <v>123</v>
      </c>
      <c r="D897" s="19">
        <v>44531</v>
      </c>
      <c r="E897" s="19">
        <v>44166</v>
      </c>
      <c r="F897" s="26" t="s">
        <v>34</v>
      </c>
      <c r="G897" s="15" t="s">
        <v>217</v>
      </c>
      <c r="H897" s="15" t="s">
        <v>268</v>
      </c>
      <c r="I897" s="15"/>
      <c r="J897" s="15" t="s">
        <v>256</v>
      </c>
      <c r="K897" s="15" t="s">
        <v>123</v>
      </c>
      <c r="L897" s="27" t="s">
        <v>219</v>
      </c>
      <c r="M897" s="27" t="s">
        <v>269</v>
      </c>
      <c r="N897" s="26" t="s">
        <v>34</v>
      </c>
      <c r="O897" s="26" t="s">
        <v>217</v>
      </c>
      <c r="P897" s="26" t="s">
        <v>268</v>
      </c>
    </row>
    <row r="898" spans="1:16" ht="14" customHeight="1" x14ac:dyDescent="0.25">
      <c r="A898" s="156"/>
      <c r="B898" s="11">
        <v>1</v>
      </c>
      <c r="C898" s="15" t="s">
        <v>98</v>
      </c>
      <c r="D898" s="15">
        <v>16.5</v>
      </c>
      <c r="E898" s="15">
        <v>7.7</v>
      </c>
      <c r="F898" s="17">
        <v>1.153</v>
      </c>
      <c r="G898" s="17">
        <v>0.379</v>
      </c>
      <c r="H898" s="17">
        <v>0.26900000000000002</v>
      </c>
      <c r="I898" s="15"/>
      <c r="J898" s="15">
        <v>1</v>
      </c>
      <c r="K898" s="15" t="s">
        <v>98</v>
      </c>
      <c r="L898" s="18">
        <v>96.7</v>
      </c>
      <c r="M898" s="18">
        <v>36.200000000000003</v>
      </c>
      <c r="N898" s="24">
        <v>1.675</v>
      </c>
      <c r="O898" s="24">
        <v>0.32600000000000001</v>
      </c>
      <c r="P898" s="24">
        <v>0.246</v>
      </c>
    </row>
    <row r="899" spans="1:16" ht="14" customHeight="1" x14ac:dyDescent="0.25">
      <c r="A899" s="156"/>
      <c r="B899" s="11">
        <v>2</v>
      </c>
      <c r="C899" s="15" t="s">
        <v>227</v>
      </c>
      <c r="D899" s="15">
        <v>8.6</v>
      </c>
      <c r="E899" s="15">
        <v>7.2</v>
      </c>
      <c r="F899" s="17">
        <v>0.185</v>
      </c>
      <c r="G899" s="17">
        <v>0.19600000000000001</v>
      </c>
      <c r="H899" s="17">
        <v>0.254</v>
      </c>
      <c r="I899" s="15"/>
      <c r="J899" s="15">
        <v>2</v>
      </c>
      <c r="K899" s="15" t="s">
        <v>227</v>
      </c>
      <c r="L899" s="18">
        <v>60.2</v>
      </c>
      <c r="M899" s="18">
        <v>34.299999999999997</v>
      </c>
      <c r="N899" s="24">
        <v>0.755</v>
      </c>
      <c r="O899" s="24">
        <v>0.20300000000000001</v>
      </c>
      <c r="P899" s="24">
        <v>0.23400000000000001</v>
      </c>
    </row>
    <row r="900" spans="1:16" ht="14" customHeight="1" x14ac:dyDescent="0.25">
      <c r="A900" s="156"/>
      <c r="B900" s="11">
        <v>3</v>
      </c>
      <c r="C900" s="18" t="s">
        <v>99</v>
      </c>
      <c r="D900" s="15">
        <v>3.8</v>
      </c>
      <c r="E900" s="15">
        <v>2.1</v>
      </c>
      <c r="F900" s="17">
        <v>0.78500000000000003</v>
      </c>
      <c r="G900" s="17">
        <v>8.5999999999999993E-2</v>
      </c>
      <c r="H900" s="17">
        <v>7.3999999999999996E-2</v>
      </c>
      <c r="I900" s="15"/>
      <c r="J900" s="15">
        <v>3</v>
      </c>
      <c r="K900" s="15" t="s">
        <v>102</v>
      </c>
      <c r="L900" s="18">
        <v>36.1</v>
      </c>
      <c r="M900" s="18">
        <v>27</v>
      </c>
      <c r="N900" s="24">
        <v>0.33500000000000002</v>
      </c>
      <c r="O900" s="24">
        <v>0.122</v>
      </c>
      <c r="P900" s="24">
        <v>0.184</v>
      </c>
    </row>
    <row r="901" spans="1:16" ht="14" customHeight="1" x14ac:dyDescent="0.25">
      <c r="A901" s="156"/>
      <c r="B901" s="11">
        <v>4</v>
      </c>
      <c r="C901" s="11" t="s">
        <v>112</v>
      </c>
      <c r="D901" s="15">
        <v>3.7</v>
      </c>
      <c r="E901" s="15">
        <v>4.0999999999999996</v>
      </c>
      <c r="F901" s="17">
        <v>-0.08</v>
      </c>
      <c r="G901" s="17">
        <v>8.5999999999999993E-2</v>
      </c>
      <c r="H901" s="17">
        <v>0.14299999999999999</v>
      </c>
      <c r="I901" s="15"/>
      <c r="J901" s="15">
        <v>4</v>
      </c>
      <c r="K901" s="11" t="s">
        <v>110</v>
      </c>
      <c r="L901" s="18">
        <v>26.3</v>
      </c>
      <c r="M901" s="18">
        <v>9.8000000000000007</v>
      </c>
      <c r="N901" s="24">
        <v>1.677</v>
      </c>
      <c r="O901" s="24">
        <v>8.7999999999999995E-2</v>
      </c>
      <c r="P901" s="24">
        <v>6.7000000000000004E-2</v>
      </c>
    </row>
    <row r="902" spans="1:16" ht="14" customHeight="1" x14ac:dyDescent="0.25">
      <c r="A902" s="156"/>
      <c r="B902" s="11">
        <v>5</v>
      </c>
      <c r="C902" s="15" t="s">
        <v>24</v>
      </c>
      <c r="D902" s="15">
        <v>1.9</v>
      </c>
      <c r="E902" s="15">
        <v>1.4</v>
      </c>
      <c r="F902" s="17">
        <v>0.34799999999999998</v>
      </c>
      <c r="G902" s="17">
        <v>4.3999999999999997E-2</v>
      </c>
      <c r="H902" s="17">
        <v>0.05</v>
      </c>
      <c r="I902" s="15"/>
      <c r="J902" s="15">
        <v>5</v>
      </c>
      <c r="K902" s="15" t="s">
        <v>24</v>
      </c>
      <c r="L902" s="18">
        <v>16.7</v>
      </c>
      <c r="M902" s="18">
        <v>8.1</v>
      </c>
      <c r="N902" s="24">
        <v>1.075</v>
      </c>
      <c r="O902" s="24">
        <v>5.6000000000000001E-2</v>
      </c>
      <c r="P902" s="24">
        <v>5.5E-2</v>
      </c>
    </row>
    <row r="903" spans="1:16" ht="14" customHeight="1" x14ac:dyDescent="0.25">
      <c r="A903" s="156"/>
      <c r="B903" s="11">
        <v>6</v>
      </c>
      <c r="C903" s="15" t="s">
        <v>173</v>
      </c>
      <c r="D903" s="15">
        <v>1.6</v>
      </c>
      <c r="E903" s="15">
        <v>1.4</v>
      </c>
      <c r="F903" s="17">
        <v>0.14599999999999999</v>
      </c>
      <c r="G903" s="17">
        <v>4.3999999999999997E-2</v>
      </c>
      <c r="H903" s="17">
        <v>0.05</v>
      </c>
      <c r="I903" s="15"/>
      <c r="J903" s="15">
        <v>6</v>
      </c>
      <c r="K903" s="15" t="s">
        <v>173</v>
      </c>
      <c r="L903" s="18">
        <v>13.2</v>
      </c>
      <c r="M903" s="18">
        <v>8.5</v>
      </c>
      <c r="N903" s="24">
        <v>0.56000000000000005</v>
      </c>
      <c r="O903" s="24">
        <v>4.4999999999999998E-2</v>
      </c>
      <c r="P903" s="24">
        <v>5.8000000000000003E-2</v>
      </c>
    </row>
    <row r="904" spans="1:16" ht="14" customHeight="1" x14ac:dyDescent="0.25">
      <c r="A904" s="156"/>
      <c r="B904" s="11">
        <v>7</v>
      </c>
      <c r="C904" s="11" t="s">
        <v>259</v>
      </c>
      <c r="D904" s="15">
        <v>1.1000000000000001</v>
      </c>
      <c r="E904" s="15">
        <v>0.8</v>
      </c>
      <c r="F904" s="17">
        <v>0.45200000000000001</v>
      </c>
      <c r="G904" s="17">
        <v>2.5999999999999999E-2</v>
      </c>
      <c r="H904" s="17">
        <v>2.7E-2</v>
      </c>
      <c r="I904" s="15"/>
      <c r="J904" s="15">
        <v>7</v>
      </c>
      <c r="K904" s="11" t="s">
        <v>259</v>
      </c>
      <c r="L904" s="18">
        <v>7.9</v>
      </c>
      <c r="M904" s="18">
        <v>3.4</v>
      </c>
      <c r="N904" s="24">
        <v>1.3049999999999999</v>
      </c>
      <c r="O904" s="24">
        <v>2.7E-2</v>
      </c>
      <c r="P904" s="24">
        <v>2.3E-2</v>
      </c>
    </row>
    <row r="905" spans="1:16" ht="14" customHeight="1" x14ac:dyDescent="0.25">
      <c r="A905" s="156"/>
      <c r="B905" s="11">
        <v>8</v>
      </c>
      <c r="C905" s="11" t="s">
        <v>114</v>
      </c>
      <c r="D905" s="15">
        <v>1.1000000000000001</v>
      </c>
      <c r="E905" s="15">
        <v>0.5</v>
      </c>
      <c r="F905" s="17">
        <v>1.3540000000000001</v>
      </c>
      <c r="G905" s="17">
        <v>2.5000000000000001E-2</v>
      </c>
      <c r="H905" s="17">
        <v>1.6E-2</v>
      </c>
      <c r="I905" s="15"/>
      <c r="J905" s="15">
        <v>8</v>
      </c>
      <c r="K905" s="11" t="s">
        <v>114</v>
      </c>
      <c r="L905" s="18">
        <v>6.4</v>
      </c>
      <c r="M905" s="18">
        <v>2.4</v>
      </c>
      <c r="N905" s="24">
        <v>1.613</v>
      </c>
      <c r="O905" s="24">
        <v>2.1000000000000001E-2</v>
      </c>
      <c r="P905" s="24">
        <v>1.7000000000000001E-2</v>
      </c>
    </row>
    <row r="906" spans="1:16" ht="14" customHeight="1" x14ac:dyDescent="0.25">
      <c r="A906" s="156"/>
      <c r="B906" s="11">
        <v>9</v>
      </c>
      <c r="C906" s="11" t="s">
        <v>270</v>
      </c>
      <c r="D906" s="15">
        <v>0.7</v>
      </c>
      <c r="E906" s="23">
        <v>0.1</v>
      </c>
      <c r="F906" s="17">
        <v>6.226</v>
      </c>
      <c r="G906" s="17">
        <v>1.4999999999999999E-2</v>
      </c>
      <c r="H906" s="17">
        <v>3.0000000000000001E-3</v>
      </c>
      <c r="I906" s="15"/>
      <c r="J906" s="15">
        <v>9</v>
      </c>
      <c r="K906" s="11" t="s">
        <v>23</v>
      </c>
      <c r="L906" s="18">
        <v>4.2</v>
      </c>
      <c r="M906" s="18">
        <v>3.9</v>
      </c>
      <c r="N906" s="24">
        <v>7.8E-2</v>
      </c>
      <c r="O906" s="24">
        <v>1.4E-2</v>
      </c>
      <c r="P906" s="24">
        <v>2.7E-2</v>
      </c>
    </row>
    <row r="907" spans="1:16" ht="14" customHeight="1" x14ac:dyDescent="0.25">
      <c r="A907" s="156"/>
      <c r="B907" s="15">
        <v>10</v>
      </c>
      <c r="C907" s="15" t="s">
        <v>23</v>
      </c>
      <c r="D907" s="15">
        <v>0.6</v>
      </c>
      <c r="E907" s="15">
        <v>0.6</v>
      </c>
      <c r="F907" s="17">
        <v>5.2999999999999999E-2</v>
      </c>
      <c r="G907" s="17">
        <v>1.2999999999999999E-2</v>
      </c>
      <c r="H907" s="17">
        <v>0.02</v>
      </c>
      <c r="I907" s="15"/>
      <c r="J907" s="15">
        <v>10</v>
      </c>
      <c r="K907" s="15" t="s">
        <v>33</v>
      </c>
      <c r="L907" s="18">
        <v>3.1</v>
      </c>
      <c r="M907" s="18">
        <v>0.6</v>
      </c>
      <c r="N907" s="24">
        <v>4.3079999999999998</v>
      </c>
      <c r="O907" s="24">
        <v>0.01</v>
      </c>
      <c r="P907" s="24">
        <v>4.0000000000000001E-3</v>
      </c>
    </row>
    <row r="908" spans="1:16" ht="14" customHeight="1" x14ac:dyDescent="0.25">
      <c r="A908" s="156"/>
      <c r="B908" s="15"/>
      <c r="C908" s="15" t="s">
        <v>207</v>
      </c>
      <c r="D908" s="23">
        <v>4</v>
      </c>
      <c r="E908" s="15">
        <v>2.7</v>
      </c>
      <c r="F908" s="17">
        <v>0.51700000000000002</v>
      </c>
      <c r="G908" s="17">
        <v>9.2999999999999999E-2</v>
      </c>
      <c r="H908" s="17">
        <v>9.4E-2</v>
      </c>
      <c r="I908" s="15"/>
      <c r="J908" s="15"/>
      <c r="K908" s="15" t="s">
        <v>207</v>
      </c>
      <c r="L908" s="18">
        <v>26</v>
      </c>
      <c r="M908" s="18">
        <v>12.5</v>
      </c>
      <c r="N908" s="24">
        <v>1.071</v>
      </c>
      <c r="O908" s="24">
        <v>8.7999999999999995E-2</v>
      </c>
      <c r="P908" s="24">
        <v>8.5000000000000006E-2</v>
      </c>
    </row>
    <row r="909" spans="1:16" ht="14" customHeight="1" x14ac:dyDescent="0.25">
      <c r="A909" s="156"/>
      <c r="B909" s="15"/>
      <c r="C909" s="15" t="s">
        <v>130</v>
      </c>
      <c r="D909" s="15">
        <v>43.7</v>
      </c>
      <c r="E909" s="15">
        <v>28.5</v>
      </c>
      <c r="F909" s="16">
        <v>0.91900000000000004</v>
      </c>
      <c r="G909" s="17">
        <v>1</v>
      </c>
      <c r="H909" s="17">
        <v>1</v>
      </c>
      <c r="I909" s="15"/>
      <c r="J909" s="15"/>
      <c r="K909" s="15" t="s">
        <v>130</v>
      </c>
      <c r="L909" s="18">
        <v>296.8</v>
      </c>
      <c r="M909" s="18">
        <v>146.80000000000001</v>
      </c>
      <c r="N909" s="17">
        <v>1.0229999999999999</v>
      </c>
      <c r="O909" s="17">
        <v>1</v>
      </c>
      <c r="P909" s="17">
        <v>1</v>
      </c>
    </row>
    <row r="910" spans="1:16" ht="14" customHeight="1" x14ac:dyDescent="0.25">
      <c r="A910" s="156"/>
      <c r="B910" s="15"/>
      <c r="C910" s="15"/>
      <c r="D910" s="15"/>
      <c r="E910" s="15"/>
      <c r="F910" s="15"/>
      <c r="G910" s="15"/>
      <c r="H910" s="15"/>
      <c r="I910" s="15"/>
      <c r="J910" s="15"/>
      <c r="K910" s="15"/>
      <c r="L910" s="15"/>
      <c r="M910" s="15"/>
      <c r="N910" s="15"/>
      <c r="O910" s="15"/>
      <c r="P910" s="15"/>
    </row>
    <row r="911" spans="1:16" ht="14" customHeight="1" x14ac:dyDescent="0.25">
      <c r="A911" s="156"/>
      <c r="B911" s="11" t="s">
        <v>271</v>
      </c>
      <c r="C911" s="11"/>
      <c r="D911" s="11"/>
      <c r="E911" s="11"/>
      <c r="F911" s="11"/>
      <c r="G911" s="11"/>
      <c r="H911" s="11"/>
      <c r="I911" s="15"/>
      <c r="J911" s="15" t="s">
        <v>272</v>
      </c>
      <c r="K911" s="15"/>
      <c r="L911" s="15"/>
      <c r="M911" s="15"/>
      <c r="N911" s="15"/>
      <c r="O911" s="15"/>
      <c r="P911" s="15"/>
    </row>
    <row r="912" spans="1:16" ht="14" customHeight="1" x14ac:dyDescent="0.25">
      <c r="A912" s="156"/>
      <c r="B912" s="11" t="s">
        <v>96</v>
      </c>
      <c r="C912" s="15" t="s">
        <v>123</v>
      </c>
      <c r="D912" s="19">
        <v>44501</v>
      </c>
      <c r="E912" s="19">
        <v>44136</v>
      </c>
      <c r="F912" s="26" t="s">
        <v>34</v>
      </c>
      <c r="G912" s="15" t="s">
        <v>217</v>
      </c>
      <c r="H912" s="15" t="s">
        <v>268</v>
      </c>
      <c r="I912" s="15"/>
      <c r="J912" s="15" t="s">
        <v>256</v>
      </c>
      <c r="K912" s="15" t="s">
        <v>123</v>
      </c>
      <c r="L912" s="27" t="s">
        <v>225</v>
      </c>
      <c r="M912" s="27" t="s">
        <v>273</v>
      </c>
      <c r="N912" s="26" t="s">
        <v>34</v>
      </c>
      <c r="O912" s="26" t="s">
        <v>217</v>
      </c>
      <c r="P912" s="26" t="s">
        <v>268</v>
      </c>
    </row>
    <row r="913" spans="1:16" ht="14" customHeight="1" x14ac:dyDescent="0.25">
      <c r="A913" s="156"/>
      <c r="B913" s="11">
        <v>1</v>
      </c>
      <c r="C913" s="15" t="s">
        <v>98</v>
      </c>
      <c r="D913" s="15">
        <v>10.7</v>
      </c>
      <c r="E913" s="15">
        <v>3.6</v>
      </c>
      <c r="F913" s="17">
        <v>1.994</v>
      </c>
      <c r="G913" s="17">
        <v>0.34899999999999998</v>
      </c>
      <c r="H913" s="17">
        <v>0.224</v>
      </c>
      <c r="I913" s="15"/>
      <c r="J913" s="15">
        <v>1</v>
      </c>
      <c r="K913" s="15" t="s">
        <v>98</v>
      </c>
      <c r="L913" s="18">
        <v>67.099999999999994</v>
      </c>
      <c r="M913" s="18">
        <v>19.899999999999999</v>
      </c>
      <c r="N913" s="24">
        <v>2.3759999999999999</v>
      </c>
      <c r="O913" s="24">
        <v>0.28999999999999998</v>
      </c>
      <c r="P913" s="24">
        <v>0.19</v>
      </c>
    </row>
    <row r="914" spans="1:16" ht="14" customHeight="1" x14ac:dyDescent="0.25">
      <c r="A914" s="156"/>
      <c r="B914" s="11">
        <v>2</v>
      </c>
      <c r="C914" s="15" t="s">
        <v>227</v>
      </c>
      <c r="D914" s="15">
        <v>5.5</v>
      </c>
      <c r="E914" s="15">
        <v>4.0999999999999996</v>
      </c>
      <c r="F914" s="17">
        <v>0.34300000000000003</v>
      </c>
      <c r="G914" s="17">
        <v>0.17699999999999999</v>
      </c>
      <c r="H914" s="17">
        <v>0.253</v>
      </c>
      <c r="I914" s="15"/>
      <c r="J914" s="15">
        <v>2</v>
      </c>
      <c r="K914" s="15" t="s">
        <v>227</v>
      </c>
      <c r="L914" s="18">
        <v>51.3</v>
      </c>
      <c r="M914" s="18">
        <v>26.9</v>
      </c>
      <c r="N914" s="17">
        <v>0.90600000000000003</v>
      </c>
      <c r="O914" s="24">
        <v>0.222</v>
      </c>
      <c r="P914" s="24">
        <v>0.25700000000000001</v>
      </c>
    </row>
    <row r="915" spans="1:16" ht="14" customHeight="1" x14ac:dyDescent="0.25">
      <c r="A915" s="156"/>
      <c r="B915" s="11">
        <v>3</v>
      </c>
      <c r="C915" s="18" t="s">
        <v>99</v>
      </c>
      <c r="D915" s="15">
        <v>3.4</v>
      </c>
      <c r="E915" s="15">
        <v>1.3</v>
      </c>
      <c r="F915" s="17">
        <v>1.661</v>
      </c>
      <c r="G915" s="17">
        <v>0.111</v>
      </c>
      <c r="H915" s="17">
        <v>0.08</v>
      </c>
      <c r="I915" s="15"/>
      <c r="J915" s="15">
        <v>3</v>
      </c>
      <c r="K915" s="15" t="s">
        <v>102</v>
      </c>
      <c r="L915" s="18">
        <v>31.3</v>
      </c>
      <c r="M915" s="18">
        <v>23</v>
      </c>
      <c r="N915" s="26">
        <v>36.5</v>
      </c>
      <c r="O915" s="24">
        <v>0.13600000000000001</v>
      </c>
      <c r="P915" s="24">
        <v>0.219</v>
      </c>
    </row>
    <row r="916" spans="1:16" ht="14" customHeight="1" x14ac:dyDescent="0.25">
      <c r="A916" s="156"/>
      <c r="B916" s="11">
        <v>4</v>
      </c>
      <c r="C916" s="11" t="s">
        <v>112</v>
      </c>
      <c r="D916" s="15">
        <v>2.9</v>
      </c>
      <c r="E916" s="15">
        <v>2.5</v>
      </c>
      <c r="F916" s="17">
        <v>0.157</v>
      </c>
      <c r="G916" s="17">
        <v>9.2999999999999999E-2</v>
      </c>
      <c r="H916" s="17">
        <v>0.154</v>
      </c>
      <c r="I916" s="15"/>
      <c r="J916" s="15">
        <v>4</v>
      </c>
      <c r="K916" s="11" t="s">
        <v>110</v>
      </c>
      <c r="L916" s="18">
        <v>20.9</v>
      </c>
      <c r="M916" s="18">
        <v>6.2</v>
      </c>
      <c r="N916" s="24">
        <v>2.3809999999999998</v>
      </c>
      <c r="O916" s="24">
        <v>0.09</v>
      </c>
      <c r="P916" s="24">
        <v>5.8999999999999997E-2</v>
      </c>
    </row>
    <row r="917" spans="1:16" ht="14" customHeight="1" x14ac:dyDescent="0.25">
      <c r="A917" s="156"/>
      <c r="B917" s="11">
        <v>5</v>
      </c>
      <c r="C917" s="15" t="s">
        <v>24</v>
      </c>
      <c r="D917" s="15">
        <v>1.7</v>
      </c>
      <c r="E917" s="15">
        <v>0.8</v>
      </c>
      <c r="F917" s="17">
        <v>1.0900000000000001</v>
      </c>
      <c r="G917" s="17">
        <v>5.6000000000000001E-2</v>
      </c>
      <c r="H917" s="17">
        <v>5.1999999999999998E-2</v>
      </c>
      <c r="I917" s="15"/>
      <c r="J917" s="15">
        <v>5</v>
      </c>
      <c r="K917" s="15" t="s">
        <v>24</v>
      </c>
      <c r="L917" s="18">
        <v>13.1</v>
      </c>
      <c r="M917" s="18">
        <v>5.9</v>
      </c>
      <c r="N917" s="24">
        <v>1.232</v>
      </c>
      <c r="O917" s="24">
        <v>5.7000000000000002E-2</v>
      </c>
      <c r="P917" s="24">
        <v>5.6000000000000001E-2</v>
      </c>
    </row>
    <row r="918" spans="1:16" ht="14" customHeight="1" x14ac:dyDescent="0.25">
      <c r="A918" s="156"/>
      <c r="B918" s="11">
        <v>6</v>
      </c>
      <c r="C918" s="15" t="s">
        <v>173</v>
      </c>
      <c r="D918" s="15">
        <v>1.2</v>
      </c>
      <c r="E918" s="15">
        <v>0.9</v>
      </c>
      <c r="F918" s="17">
        <v>0.32</v>
      </c>
      <c r="G918" s="17">
        <v>3.9E-2</v>
      </c>
      <c r="H918" s="17">
        <v>5.7000000000000002E-2</v>
      </c>
      <c r="I918" s="15"/>
      <c r="J918" s="15">
        <v>6</v>
      </c>
      <c r="K918" s="15" t="s">
        <v>173</v>
      </c>
      <c r="L918" s="18">
        <v>11.1</v>
      </c>
      <c r="M918" s="18">
        <v>6.9</v>
      </c>
      <c r="N918" s="24">
        <v>0.61399999999999999</v>
      </c>
      <c r="O918" s="24">
        <v>4.8000000000000001E-2</v>
      </c>
      <c r="P918" s="24">
        <v>6.6000000000000003E-2</v>
      </c>
    </row>
    <row r="919" spans="1:16" ht="14" customHeight="1" x14ac:dyDescent="0.25">
      <c r="A919" s="156"/>
      <c r="B919" s="11">
        <v>7</v>
      </c>
      <c r="C919" s="11" t="s">
        <v>259</v>
      </c>
      <c r="D919" s="15">
        <v>0.8</v>
      </c>
      <c r="E919" s="15">
        <v>0.5</v>
      </c>
      <c r="F919" s="17">
        <v>0.59099999999999997</v>
      </c>
      <c r="G919" s="17">
        <v>2.7E-2</v>
      </c>
      <c r="H919" s="17">
        <v>3.2000000000000001E-2</v>
      </c>
      <c r="I919" s="15"/>
      <c r="J919" s="15">
        <v>7</v>
      </c>
      <c r="K919" s="11" t="s">
        <v>259</v>
      </c>
      <c r="L919" s="18">
        <v>6.8</v>
      </c>
      <c r="M919" s="18">
        <v>2.7</v>
      </c>
      <c r="N919" s="24">
        <v>1.5449999999999999</v>
      </c>
      <c r="O919" s="24">
        <v>2.9000000000000001E-2</v>
      </c>
      <c r="P919" s="24">
        <v>2.5000000000000001E-2</v>
      </c>
    </row>
    <row r="920" spans="1:16" ht="14" customHeight="1" x14ac:dyDescent="0.25">
      <c r="A920" s="156"/>
      <c r="B920" s="11">
        <v>8</v>
      </c>
      <c r="C920" s="11" t="s">
        <v>114</v>
      </c>
      <c r="D920" s="15">
        <v>0.6</v>
      </c>
      <c r="E920" s="15">
        <v>0.3</v>
      </c>
      <c r="F920" s="17">
        <v>1.1619999999999999</v>
      </c>
      <c r="G920" s="17">
        <v>1.9E-2</v>
      </c>
      <c r="H920" s="17">
        <v>1.7000000000000001E-2</v>
      </c>
      <c r="I920" s="15"/>
      <c r="J920" s="15">
        <v>8</v>
      </c>
      <c r="K920" s="11" t="s">
        <v>114</v>
      </c>
      <c r="L920" s="18">
        <v>4.3</v>
      </c>
      <c r="M920" s="18">
        <v>1.5</v>
      </c>
      <c r="N920" s="24">
        <v>1.9219999999999999</v>
      </c>
      <c r="O920" s="24">
        <v>1.9E-2</v>
      </c>
      <c r="P920" s="24">
        <v>1.4E-2</v>
      </c>
    </row>
    <row r="921" spans="1:16" ht="14" customHeight="1" x14ac:dyDescent="0.25">
      <c r="A921" s="156"/>
      <c r="B921" s="11">
        <v>9</v>
      </c>
      <c r="C921" s="11" t="s">
        <v>270</v>
      </c>
      <c r="D921" s="15">
        <v>0.4</v>
      </c>
      <c r="E921" s="23">
        <v>0</v>
      </c>
      <c r="F921" s="17">
        <v>13.765000000000001</v>
      </c>
      <c r="G921" s="17">
        <v>1.2999999999999999E-2</v>
      </c>
      <c r="H921" s="17">
        <v>2E-3</v>
      </c>
      <c r="I921" s="15"/>
      <c r="J921" s="15">
        <v>9</v>
      </c>
      <c r="K921" s="11" t="s">
        <v>23</v>
      </c>
      <c r="L921" s="18">
        <v>3.6</v>
      </c>
      <c r="M921" s="18">
        <v>3.3</v>
      </c>
      <c r="N921" s="24">
        <v>7.4999999999999997E-2</v>
      </c>
      <c r="O921" s="24">
        <v>1.4999999999999999E-2</v>
      </c>
      <c r="P921" s="24">
        <v>3.2000000000000001E-2</v>
      </c>
    </row>
    <row r="922" spans="1:16" ht="14" customHeight="1" x14ac:dyDescent="0.25">
      <c r="A922" s="156"/>
      <c r="B922" s="15">
        <v>10</v>
      </c>
      <c r="C922" s="15" t="s">
        <v>23</v>
      </c>
      <c r="D922" s="15">
        <v>0.4</v>
      </c>
      <c r="E922" s="15">
        <v>0.4</v>
      </c>
      <c r="F922" s="17">
        <v>1.2999999999999999E-2</v>
      </c>
      <c r="G922" s="17">
        <v>1.2999999999999999E-2</v>
      </c>
      <c r="H922" s="17">
        <v>2.5000000000000001E-2</v>
      </c>
      <c r="I922" s="15"/>
      <c r="J922" s="15">
        <v>10</v>
      </c>
      <c r="K922" s="15" t="s">
        <v>33</v>
      </c>
      <c r="L922" s="18">
        <v>2.5</v>
      </c>
      <c r="M922" s="18">
        <v>0.4</v>
      </c>
      <c r="N922" s="24">
        <v>5.9240000000000004</v>
      </c>
      <c r="O922" s="24">
        <v>1.0999999999999999E-2</v>
      </c>
      <c r="P922" s="24">
        <v>3.0000000000000001E-3</v>
      </c>
    </row>
    <row r="923" spans="1:16" ht="14" customHeight="1" x14ac:dyDescent="0.25">
      <c r="A923" s="156"/>
      <c r="B923" s="15"/>
      <c r="C923" s="15" t="s">
        <v>207</v>
      </c>
      <c r="D923" s="15">
        <v>3.1</v>
      </c>
      <c r="E923" s="15">
        <v>1.7</v>
      </c>
      <c r="F923" s="17">
        <v>0.87</v>
      </c>
      <c r="G923" s="17">
        <v>0.10199999999999999</v>
      </c>
      <c r="H923" s="17">
        <v>0.105</v>
      </c>
      <c r="I923" s="15"/>
      <c r="J923" s="15"/>
      <c r="K923" s="15" t="s">
        <v>207</v>
      </c>
      <c r="L923" s="18">
        <v>19.100000000000001</v>
      </c>
      <c r="M923" s="18">
        <v>8.1</v>
      </c>
      <c r="N923" s="24">
        <v>1.3480000000000001</v>
      </c>
      <c r="O923" s="24">
        <v>8.2000000000000003E-2</v>
      </c>
      <c r="P923" s="24">
        <v>7.8E-2</v>
      </c>
    </row>
    <row r="924" spans="1:16" ht="14" customHeight="1" x14ac:dyDescent="0.25">
      <c r="A924" s="156"/>
      <c r="B924" s="15"/>
      <c r="C924" s="15" t="s">
        <v>130</v>
      </c>
      <c r="D924" s="15">
        <v>30.8</v>
      </c>
      <c r="E924" s="15">
        <v>16.100000000000001</v>
      </c>
      <c r="F924" s="16">
        <v>0.91900000000000004</v>
      </c>
      <c r="G924" s="17">
        <v>1</v>
      </c>
      <c r="H924" s="17">
        <v>1</v>
      </c>
      <c r="I924" s="15"/>
      <c r="J924" s="15"/>
      <c r="K924" s="10" t="s">
        <v>274</v>
      </c>
      <c r="L924" s="18">
        <v>231.2</v>
      </c>
      <c r="M924" s="18">
        <v>104.7</v>
      </c>
      <c r="N924" s="17">
        <v>1.2090000000000001</v>
      </c>
      <c r="O924" s="17">
        <v>1</v>
      </c>
      <c r="P924" s="17">
        <v>1</v>
      </c>
    </row>
    <row r="925" spans="1:16" ht="14" customHeight="1" x14ac:dyDescent="0.25">
      <c r="A925" s="156"/>
      <c r="B925" s="15"/>
      <c r="C925" s="15"/>
      <c r="D925" s="15"/>
      <c r="E925" s="15"/>
      <c r="F925" s="15"/>
      <c r="G925" s="15"/>
      <c r="H925" s="15"/>
      <c r="I925" s="15"/>
      <c r="J925" s="15"/>
      <c r="K925" s="15" t="s">
        <v>275</v>
      </c>
      <c r="L925" s="15"/>
      <c r="M925" s="15"/>
      <c r="N925" s="15"/>
      <c r="O925" s="15"/>
      <c r="P925" s="15"/>
    </row>
    <row r="926" spans="1:16" ht="14" customHeight="1" x14ac:dyDescent="0.25">
      <c r="A926" s="156"/>
      <c r="B926" s="11" t="s">
        <v>276</v>
      </c>
      <c r="C926" s="11"/>
      <c r="D926" s="11"/>
      <c r="E926" s="11"/>
      <c r="F926" s="11"/>
      <c r="G926" s="11"/>
      <c r="H926" s="11"/>
      <c r="I926" s="15"/>
      <c r="J926" s="15" t="s">
        <v>277</v>
      </c>
      <c r="K926" s="15"/>
      <c r="L926" s="15"/>
      <c r="M926" s="15"/>
      <c r="N926" s="15"/>
      <c r="O926" s="15"/>
      <c r="P926" s="15"/>
    </row>
    <row r="927" spans="1:16" ht="14" customHeight="1" x14ac:dyDescent="0.25">
      <c r="A927" s="156"/>
      <c r="B927" s="11" t="s">
        <v>96</v>
      </c>
      <c r="C927" s="15" t="s">
        <v>123</v>
      </c>
      <c r="D927" s="19">
        <v>44470</v>
      </c>
      <c r="E927" s="19">
        <v>44105</v>
      </c>
      <c r="F927" s="26" t="s">
        <v>34</v>
      </c>
      <c r="G927" s="15" t="s">
        <v>217</v>
      </c>
      <c r="H927" s="15" t="s">
        <v>268</v>
      </c>
      <c r="I927" s="15"/>
      <c r="J927" s="15" t="s">
        <v>256</v>
      </c>
      <c r="K927" s="15" t="s">
        <v>123</v>
      </c>
      <c r="L927" s="27" t="s">
        <v>232</v>
      </c>
      <c r="M927" s="27" t="s">
        <v>278</v>
      </c>
      <c r="N927" s="26" t="s">
        <v>34</v>
      </c>
      <c r="O927" s="26" t="s">
        <v>217</v>
      </c>
      <c r="P927" s="26" t="s">
        <v>268</v>
      </c>
    </row>
    <row r="928" spans="1:16" ht="14" customHeight="1" x14ac:dyDescent="0.25">
      <c r="A928" s="156"/>
      <c r="B928" s="11">
        <v>1</v>
      </c>
      <c r="C928" s="15" t="s">
        <v>98</v>
      </c>
      <c r="D928" s="15">
        <v>8.9</v>
      </c>
      <c r="E928" s="15">
        <v>3.9</v>
      </c>
      <c r="F928" s="17">
        <v>1.3</v>
      </c>
      <c r="G928" s="17">
        <v>0.34200000000000003</v>
      </c>
      <c r="H928" s="17">
        <v>0.252</v>
      </c>
      <c r="I928" s="15"/>
      <c r="J928" s="15">
        <v>1</v>
      </c>
      <c r="K928" s="15" t="s">
        <v>98</v>
      </c>
      <c r="L928" s="18">
        <v>67.5</v>
      </c>
      <c r="M928" s="18">
        <v>23.4</v>
      </c>
      <c r="N928" s="24">
        <v>1.88</v>
      </c>
      <c r="O928" s="24">
        <v>0.312</v>
      </c>
      <c r="P928" s="24">
        <v>0.23400000000000001</v>
      </c>
    </row>
    <row r="929" spans="1:16" ht="14" customHeight="1" x14ac:dyDescent="0.25">
      <c r="A929" s="156"/>
      <c r="B929" s="11">
        <v>2</v>
      </c>
      <c r="C929" s="15" t="s">
        <v>227</v>
      </c>
      <c r="D929" s="15">
        <v>4.0999999999999996</v>
      </c>
      <c r="E929" s="15">
        <v>3.7</v>
      </c>
      <c r="F929" s="17">
        <v>0.126</v>
      </c>
      <c r="G929" s="17">
        <v>0.158</v>
      </c>
      <c r="H929" s="17">
        <v>0.23799999999999999</v>
      </c>
      <c r="I929" s="15"/>
      <c r="J929" s="15">
        <v>2</v>
      </c>
      <c r="K929" s="15" t="s">
        <v>227</v>
      </c>
      <c r="L929" s="18">
        <v>45.8</v>
      </c>
      <c r="M929" s="18">
        <v>23</v>
      </c>
      <c r="N929" s="17">
        <v>0.99399999999999999</v>
      </c>
      <c r="O929" s="24">
        <v>0.21199999999999999</v>
      </c>
      <c r="P929" s="24">
        <v>0.23</v>
      </c>
    </row>
    <row r="930" spans="1:16" ht="14" customHeight="1" x14ac:dyDescent="0.25">
      <c r="A930" s="156"/>
      <c r="B930" s="11">
        <v>3</v>
      </c>
      <c r="C930" s="18" t="s">
        <v>99</v>
      </c>
      <c r="D930" s="15">
        <v>3.2</v>
      </c>
      <c r="E930" s="15">
        <v>1.2</v>
      </c>
      <c r="F930" s="17">
        <v>1.724</v>
      </c>
      <c r="G930" s="17">
        <v>0.121</v>
      </c>
      <c r="H930" s="17">
        <v>7.5999999999999998E-2</v>
      </c>
      <c r="I930" s="15"/>
      <c r="J930" s="15">
        <v>3</v>
      </c>
      <c r="K930" s="15" t="s">
        <v>102</v>
      </c>
      <c r="L930" s="18">
        <v>28.5</v>
      </c>
      <c r="M930" s="18">
        <v>20.5</v>
      </c>
      <c r="N930" s="26">
        <v>38.9</v>
      </c>
      <c r="O930" s="24">
        <v>0.13200000000000001</v>
      </c>
      <c r="P930" s="24">
        <v>0.20499999999999999</v>
      </c>
    </row>
    <row r="931" spans="1:16" ht="14" customHeight="1" x14ac:dyDescent="0.25">
      <c r="A931" s="156"/>
      <c r="B931" s="11">
        <v>4</v>
      </c>
      <c r="C931" s="11" t="s">
        <v>112</v>
      </c>
      <c r="D931" s="15">
        <v>2.2000000000000002</v>
      </c>
      <c r="E931" s="15">
        <v>2.1</v>
      </c>
      <c r="F931" s="17">
        <v>1.7999999999999999E-2</v>
      </c>
      <c r="G931" s="17">
        <v>8.3000000000000004E-2</v>
      </c>
      <c r="H931" s="17">
        <v>0.13900000000000001</v>
      </c>
      <c r="I931" s="15"/>
      <c r="J931" s="15">
        <v>4</v>
      </c>
      <c r="K931" s="22" t="s">
        <v>110</v>
      </c>
      <c r="L931" s="18">
        <v>18.399999999999999</v>
      </c>
      <c r="M931" s="18">
        <v>6.2</v>
      </c>
      <c r="N931" s="24">
        <v>1.962</v>
      </c>
      <c r="O931" s="24">
        <v>8.5000000000000006E-2</v>
      </c>
      <c r="P931" s="24">
        <v>6.2E-2</v>
      </c>
    </row>
    <row r="932" spans="1:16" ht="14" customHeight="1" x14ac:dyDescent="0.25">
      <c r="A932" s="156"/>
      <c r="B932" s="11">
        <v>5</v>
      </c>
      <c r="C932" s="15" t="s">
        <v>24</v>
      </c>
      <c r="D932" s="15">
        <v>2</v>
      </c>
      <c r="E932" s="15">
        <v>1</v>
      </c>
      <c r="F932" s="17">
        <v>0.92800000000000005</v>
      </c>
      <c r="G932" s="17">
        <v>7.4999999999999997E-2</v>
      </c>
      <c r="H932" s="17">
        <v>6.6000000000000003E-2</v>
      </c>
      <c r="I932" s="15"/>
      <c r="J932" s="15">
        <v>5</v>
      </c>
      <c r="K932" s="15" t="s">
        <v>24</v>
      </c>
      <c r="L932" s="18">
        <v>12.6</v>
      </c>
      <c r="M932" s="18">
        <v>5.7</v>
      </c>
      <c r="N932" s="24">
        <v>1.202</v>
      </c>
      <c r="O932" s="24">
        <v>5.8000000000000003E-2</v>
      </c>
      <c r="P932" s="24">
        <v>5.7000000000000002E-2</v>
      </c>
    </row>
    <row r="933" spans="1:16" ht="14" customHeight="1" x14ac:dyDescent="0.25">
      <c r="A933" s="156"/>
      <c r="B933" s="11">
        <v>6</v>
      </c>
      <c r="C933" s="11" t="s">
        <v>115</v>
      </c>
      <c r="D933" s="15">
        <v>0.9</v>
      </c>
      <c r="E933" s="15">
        <v>0.8</v>
      </c>
      <c r="F933" s="17">
        <v>0.105</v>
      </c>
      <c r="G933" s="17">
        <v>3.5000000000000003E-2</v>
      </c>
      <c r="H933" s="17">
        <v>5.3999999999999999E-2</v>
      </c>
      <c r="I933" s="15"/>
      <c r="J933" s="15">
        <v>6</v>
      </c>
      <c r="K933" s="15" t="s">
        <v>173</v>
      </c>
      <c r="L933" s="18">
        <v>10</v>
      </c>
      <c r="M933" s="18">
        <v>6.1</v>
      </c>
      <c r="N933" s="24">
        <v>0.63600000000000001</v>
      </c>
      <c r="O933" s="24">
        <v>4.5999999999999999E-2</v>
      </c>
      <c r="P933" s="24">
        <v>6.0999999999999999E-2</v>
      </c>
    </row>
    <row r="934" spans="1:16" ht="14" customHeight="1" x14ac:dyDescent="0.25">
      <c r="A934" s="156"/>
      <c r="B934" s="11">
        <v>7</v>
      </c>
      <c r="C934" s="15" t="s">
        <v>101</v>
      </c>
      <c r="D934" s="15">
        <v>0.7</v>
      </c>
      <c r="E934" s="15">
        <v>0.2</v>
      </c>
      <c r="F934" s="17">
        <v>2.032</v>
      </c>
      <c r="G934" s="17">
        <v>2.7E-2</v>
      </c>
      <c r="H934" s="17">
        <v>1.4999999999999999E-2</v>
      </c>
      <c r="I934" s="15"/>
      <c r="J934" s="15">
        <v>7</v>
      </c>
      <c r="K934" s="11" t="s">
        <v>259</v>
      </c>
      <c r="L934" s="18">
        <v>6</v>
      </c>
      <c r="M934" s="18">
        <v>2.1</v>
      </c>
      <c r="N934" s="24">
        <v>1.782</v>
      </c>
      <c r="O934" s="24">
        <v>2.8000000000000001E-2</v>
      </c>
      <c r="P934" s="24">
        <v>2.1000000000000001E-2</v>
      </c>
    </row>
    <row r="935" spans="1:16" ht="14" customHeight="1" x14ac:dyDescent="0.25">
      <c r="A935" s="156"/>
      <c r="B935" s="11">
        <v>8</v>
      </c>
      <c r="C935" s="28" t="s">
        <v>279</v>
      </c>
      <c r="D935" s="15">
        <v>0.6</v>
      </c>
      <c r="E935" s="15">
        <v>0.5</v>
      </c>
      <c r="F935" s="17">
        <v>0.2</v>
      </c>
      <c r="G935" s="17">
        <v>2.1000000000000001E-2</v>
      </c>
      <c r="H935" s="17">
        <v>0.03</v>
      </c>
      <c r="I935" s="15"/>
      <c r="J935" s="15">
        <v>8</v>
      </c>
      <c r="K935" s="11" t="s">
        <v>114</v>
      </c>
      <c r="L935" s="18">
        <v>4.5999999999999996</v>
      </c>
      <c r="M935" s="18">
        <v>1.6</v>
      </c>
      <c r="N935" s="24">
        <v>1.7689999999999999</v>
      </c>
      <c r="O935" s="24">
        <v>2.1000000000000001E-2</v>
      </c>
      <c r="P935" s="24">
        <v>1.6E-2</v>
      </c>
    </row>
    <row r="936" spans="1:16" ht="14" customHeight="1" x14ac:dyDescent="0.25">
      <c r="A936" s="156"/>
      <c r="B936" s="11">
        <v>9</v>
      </c>
      <c r="C936" s="28" t="s">
        <v>33</v>
      </c>
      <c r="D936" s="15">
        <v>0.3</v>
      </c>
      <c r="E936" s="15">
        <v>0.1</v>
      </c>
      <c r="F936" s="17">
        <v>2.3490000000000002</v>
      </c>
      <c r="G936" s="17">
        <v>1.2999999999999999E-2</v>
      </c>
      <c r="H936" s="17">
        <v>6.0000000000000001E-3</v>
      </c>
      <c r="I936" s="15"/>
      <c r="J936" s="15">
        <v>9</v>
      </c>
      <c r="K936" s="28" t="s">
        <v>23</v>
      </c>
      <c r="L936" s="18">
        <v>3.2</v>
      </c>
      <c r="M936" s="18">
        <v>2.9</v>
      </c>
      <c r="N936" s="24">
        <v>8.2000000000000003E-2</v>
      </c>
      <c r="O936" s="24">
        <v>1.4999999999999999E-2</v>
      </c>
      <c r="P936" s="24">
        <v>2.9000000000000001E-2</v>
      </c>
    </row>
    <row r="937" spans="1:16" ht="14" customHeight="1" x14ac:dyDescent="0.25">
      <c r="A937" s="156"/>
      <c r="B937" s="15">
        <v>10</v>
      </c>
      <c r="C937" s="15" t="s">
        <v>42</v>
      </c>
      <c r="D937" s="15">
        <v>0.3</v>
      </c>
      <c r="E937" s="15">
        <v>0.1</v>
      </c>
      <c r="F937" s="17">
        <v>1.246</v>
      </c>
      <c r="G937" s="17">
        <v>1.2E-2</v>
      </c>
      <c r="H937" s="17">
        <v>8.9999999999999993E-3</v>
      </c>
      <c r="I937" s="15"/>
      <c r="J937" s="15">
        <v>10</v>
      </c>
      <c r="K937" s="15" t="s">
        <v>33</v>
      </c>
      <c r="L937" s="18">
        <v>2.1</v>
      </c>
      <c r="M937" s="18">
        <v>0.2</v>
      </c>
      <c r="N937" s="24">
        <v>8.9019999999999992</v>
      </c>
      <c r="O937" s="24">
        <v>0.01</v>
      </c>
      <c r="P937" s="24">
        <v>2E-3</v>
      </c>
    </row>
    <row r="938" spans="1:16" ht="14" customHeight="1" x14ac:dyDescent="0.25">
      <c r="A938" s="156"/>
      <c r="B938" s="15"/>
      <c r="C938" s="15" t="s">
        <v>207</v>
      </c>
      <c r="D938" s="15">
        <v>3</v>
      </c>
      <c r="E938" s="15">
        <v>1.8</v>
      </c>
      <c r="F938" s="17">
        <v>0.69499999999999995</v>
      </c>
      <c r="G938" s="17">
        <v>0.114</v>
      </c>
      <c r="H938" s="17">
        <v>0.114</v>
      </c>
      <c r="I938" s="15"/>
      <c r="J938" s="15"/>
      <c r="K938" s="15" t="s">
        <v>105</v>
      </c>
      <c r="L938" s="18">
        <v>17.600000000000001</v>
      </c>
      <c r="M938" s="18">
        <v>8.1999999999999993</v>
      </c>
      <c r="N938" s="24">
        <v>1.153</v>
      </c>
      <c r="O938" s="24">
        <v>8.1000000000000003E-2</v>
      </c>
      <c r="P938" s="24">
        <v>8.2000000000000003E-2</v>
      </c>
    </row>
    <row r="939" spans="1:16" ht="14" customHeight="1" x14ac:dyDescent="0.25">
      <c r="A939" s="156"/>
      <c r="B939" s="25"/>
      <c r="C939" s="15" t="s">
        <v>130</v>
      </c>
      <c r="D939" s="15">
        <v>26.2</v>
      </c>
      <c r="E939" s="15">
        <v>15.4</v>
      </c>
      <c r="F939" s="17">
        <v>0.7</v>
      </c>
      <c r="G939" s="17">
        <v>1</v>
      </c>
      <c r="H939" s="17">
        <v>1</v>
      </c>
      <c r="I939" s="15"/>
      <c r="J939" s="15"/>
      <c r="K939" s="15" t="s">
        <v>130</v>
      </c>
      <c r="L939" s="18">
        <v>216.2</v>
      </c>
      <c r="M939" s="18">
        <v>100.1</v>
      </c>
      <c r="N939" s="17">
        <v>1.161</v>
      </c>
      <c r="O939" s="17">
        <v>1</v>
      </c>
      <c r="P939" s="17">
        <v>1</v>
      </c>
    </row>
    <row r="940" spans="1:16" ht="14" customHeight="1" x14ac:dyDescent="0.25">
      <c r="A940" s="156" t="s">
        <v>280</v>
      </c>
      <c r="B940" s="15" t="s">
        <v>281</v>
      </c>
      <c r="C940" s="15"/>
      <c r="D940" s="15"/>
      <c r="E940" s="15"/>
      <c r="F940" s="15"/>
      <c r="G940" s="15"/>
      <c r="H940" s="15"/>
      <c r="I940" s="15"/>
      <c r="J940" s="15"/>
      <c r="K940" s="15"/>
      <c r="L940" s="15"/>
      <c r="M940" s="15"/>
      <c r="N940" s="15"/>
      <c r="O940" s="15"/>
      <c r="P940" s="15"/>
    </row>
    <row r="942" spans="1:16" ht="14" customHeight="1" x14ac:dyDescent="0.25">
      <c r="A942" s="156"/>
      <c r="B942" s="11" t="s">
        <v>282</v>
      </c>
      <c r="C942" s="11"/>
      <c r="D942" s="11"/>
      <c r="E942" s="11"/>
      <c r="F942" s="11"/>
      <c r="G942" s="11"/>
      <c r="H942" s="11"/>
      <c r="I942" s="15"/>
      <c r="J942" s="15" t="s">
        <v>283</v>
      </c>
      <c r="K942" s="15"/>
      <c r="L942" s="15"/>
      <c r="M942" s="15"/>
      <c r="N942" s="15"/>
      <c r="O942" s="15"/>
      <c r="P942" s="15"/>
    </row>
    <row r="943" spans="1:16" ht="14" customHeight="1" x14ac:dyDescent="0.25">
      <c r="A943" s="156"/>
      <c r="B943" s="11" t="s">
        <v>96</v>
      </c>
      <c r="C943" s="11" t="s">
        <v>284</v>
      </c>
      <c r="D943" s="19">
        <v>44440</v>
      </c>
      <c r="E943" s="19">
        <v>44075</v>
      </c>
      <c r="F943" s="26" t="s">
        <v>34</v>
      </c>
      <c r="G943" s="15" t="s">
        <v>217</v>
      </c>
      <c r="H943" s="15" t="s">
        <v>268</v>
      </c>
      <c r="I943" s="15"/>
      <c r="J943" s="15" t="s">
        <v>256</v>
      </c>
      <c r="K943" s="15" t="s">
        <v>123</v>
      </c>
      <c r="L943" s="27" t="s">
        <v>237</v>
      </c>
      <c r="M943" s="27" t="s">
        <v>285</v>
      </c>
      <c r="N943" s="26" t="s">
        <v>34</v>
      </c>
      <c r="O943" s="26" t="s">
        <v>217</v>
      </c>
      <c r="P943" s="26" t="s">
        <v>268</v>
      </c>
    </row>
    <row r="944" spans="1:16" ht="14" customHeight="1" x14ac:dyDescent="0.25">
      <c r="A944" s="156"/>
      <c r="B944" s="11">
        <v>1</v>
      </c>
      <c r="C944" s="11" t="s">
        <v>109</v>
      </c>
      <c r="D944" s="15">
        <v>10.6</v>
      </c>
      <c r="E944" s="15">
        <v>3.7</v>
      </c>
      <c r="F944" s="17">
        <v>1.835</v>
      </c>
      <c r="G944" s="17">
        <v>0.32100000000000001</v>
      </c>
      <c r="H944" s="17">
        <v>0.22</v>
      </c>
      <c r="I944" s="15"/>
      <c r="J944" s="15">
        <v>1</v>
      </c>
      <c r="K944" s="15" t="s">
        <v>98</v>
      </c>
      <c r="L944" s="18">
        <v>60.9</v>
      </c>
      <c r="M944" s="18">
        <v>19.5</v>
      </c>
      <c r="N944" s="24">
        <v>2.1160000000000001</v>
      </c>
      <c r="O944" s="24">
        <v>0.312</v>
      </c>
      <c r="P944" s="24">
        <v>0.23100000000000001</v>
      </c>
    </row>
    <row r="945" spans="1:16" ht="14" customHeight="1" x14ac:dyDescent="0.25">
      <c r="A945" s="156"/>
      <c r="B945" s="11">
        <v>2</v>
      </c>
      <c r="C945" s="11" t="s">
        <v>286</v>
      </c>
      <c r="D945" s="15">
        <v>7.8</v>
      </c>
      <c r="E945" s="15">
        <v>3.7</v>
      </c>
      <c r="F945" s="17">
        <v>1.107</v>
      </c>
      <c r="G945" s="17">
        <v>0.23699999999999999</v>
      </c>
      <c r="H945" s="17">
        <v>0.218</v>
      </c>
      <c r="I945" s="15"/>
      <c r="J945" s="15">
        <v>2</v>
      </c>
      <c r="K945" s="15" t="s">
        <v>227</v>
      </c>
      <c r="L945" s="18">
        <v>46.5</v>
      </c>
      <c r="M945" s="18">
        <v>19.3</v>
      </c>
      <c r="N945" s="17">
        <v>1.407</v>
      </c>
      <c r="O945" s="24">
        <v>0.23799999999999999</v>
      </c>
      <c r="P945" s="24">
        <v>0.22800000000000001</v>
      </c>
    </row>
    <row r="946" spans="1:16" ht="14" customHeight="1" x14ac:dyDescent="0.25">
      <c r="A946" s="156"/>
      <c r="B946" s="11">
        <v>3</v>
      </c>
      <c r="C946" s="11" t="s">
        <v>112</v>
      </c>
      <c r="D946" s="15">
        <v>4.3</v>
      </c>
      <c r="E946" s="15">
        <v>4.2</v>
      </c>
      <c r="F946" s="17">
        <v>1.0999999999999999E-2</v>
      </c>
      <c r="G946" s="17">
        <v>0.13</v>
      </c>
      <c r="H946" s="17">
        <v>0.25</v>
      </c>
      <c r="I946" s="15"/>
      <c r="J946" s="15">
        <v>3</v>
      </c>
      <c r="K946" s="15" t="s">
        <v>102</v>
      </c>
      <c r="L946" s="18">
        <v>26</v>
      </c>
      <c r="M946" s="18">
        <v>18.3</v>
      </c>
      <c r="N946" s="26">
        <v>41.5</v>
      </c>
      <c r="O946" s="24">
        <v>0.13300000000000001</v>
      </c>
      <c r="P946" s="24">
        <v>0.217</v>
      </c>
    </row>
    <row r="947" spans="1:16" ht="14" customHeight="1" x14ac:dyDescent="0.25">
      <c r="A947" s="156"/>
      <c r="B947" s="11">
        <v>4</v>
      </c>
      <c r="C947" s="22" t="s">
        <v>110</v>
      </c>
      <c r="D947" s="15">
        <v>2.9</v>
      </c>
      <c r="E947" s="15">
        <v>1.1000000000000001</v>
      </c>
      <c r="F947" s="17">
        <v>1.72</v>
      </c>
      <c r="G947" s="17">
        <v>0.09</v>
      </c>
      <c r="H947" s="17">
        <v>6.4000000000000001E-2</v>
      </c>
      <c r="I947" s="15"/>
      <c r="J947" s="15">
        <v>4</v>
      </c>
      <c r="K947" s="18" t="s">
        <v>99</v>
      </c>
      <c r="L947" s="18">
        <v>15.4</v>
      </c>
      <c r="M947" s="18">
        <v>5</v>
      </c>
      <c r="N947" s="24">
        <v>2.0670000000000002</v>
      </c>
      <c r="O947" s="24">
        <v>7.9000000000000001E-2</v>
      </c>
      <c r="P947" s="24">
        <v>5.8999999999999997E-2</v>
      </c>
    </row>
    <row r="948" spans="1:16" ht="14" customHeight="1" x14ac:dyDescent="0.25">
      <c r="A948" s="156"/>
      <c r="B948" s="11">
        <v>5</v>
      </c>
      <c r="C948" s="11" t="s">
        <v>24</v>
      </c>
      <c r="D948" s="15">
        <v>1.7</v>
      </c>
      <c r="E948" s="15">
        <v>1.1000000000000001</v>
      </c>
      <c r="F948" s="17">
        <v>0.627</v>
      </c>
      <c r="G948" s="17">
        <v>5.2999999999999999E-2</v>
      </c>
      <c r="H948" s="17">
        <v>6.3E-2</v>
      </c>
      <c r="I948" s="15"/>
      <c r="J948" s="15">
        <v>5</v>
      </c>
      <c r="K948" s="15" t="s">
        <v>24</v>
      </c>
      <c r="L948" s="18">
        <v>10.6</v>
      </c>
      <c r="M948" s="18">
        <v>4.7</v>
      </c>
      <c r="N948" s="24">
        <v>1.2509999999999999</v>
      </c>
      <c r="O948" s="24">
        <v>5.3999999999999999E-2</v>
      </c>
      <c r="P948" s="24">
        <v>5.6000000000000001E-2</v>
      </c>
    </row>
    <row r="949" spans="1:16" ht="14" customHeight="1" x14ac:dyDescent="0.25">
      <c r="A949" s="156"/>
      <c r="B949" s="11">
        <v>6</v>
      </c>
      <c r="C949" s="11" t="s">
        <v>115</v>
      </c>
      <c r="D949" s="15">
        <v>1</v>
      </c>
      <c r="E949" s="15">
        <v>0.8</v>
      </c>
      <c r="F949" s="17">
        <v>0.26300000000000001</v>
      </c>
      <c r="G949" s="17">
        <v>3.2000000000000001E-2</v>
      </c>
      <c r="H949" s="17">
        <v>4.9000000000000002E-2</v>
      </c>
      <c r="I949" s="15"/>
      <c r="J949" s="15">
        <v>6</v>
      </c>
      <c r="K949" s="15" t="s">
        <v>173</v>
      </c>
      <c r="L949" s="18">
        <v>9</v>
      </c>
      <c r="M949" s="18">
        <v>5.3</v>
      </c>
      <c r="N949" s="24">
        <v>0.71099999999999997</v>
      </c>
      <c r="O949" s="24">
        <v>4.5999999999999999E-2</v>
      </c>
      <c r="P949" s="24">
        <v>6.2E-2</v>
      </c>
    </row>
    <row r="950" spans="1:16" ht="14" customHeight="1" x14ac:dyDescent="0.25">
      <c r="A950" s="156"/>
      <c r="B950" s="11">
        <v>7</v>
      </c>
      <c r="C950" s="11" t="s">
        <v>259</v>
      </c>
      <c r="D950" s="15">
        <v>0.9</v>
      </c>
      <c r="E950" s="15">
        <v>0.5</v>
      </c>
      <c r="F950" s="17">
        <v>0.89200000000000002</v>
      </c>
      <c r="G950" s="17">
        <v>2.8000000000000001E-2</v>
      </c>
      <c r="H950" s="17">
        <v>2.9000000000000001E-2</v>
      </c>
      <c r="I950" s="15"/>
      <c r="J950" s="15">
        <v>7</v>
      </c>
      <c r="K950" s="11" t="s">
        <v>259</v>
      </c>
      <c r="L950" s="18">
        <v>5.6</v>
      </c>
      <c r="M950" s="18">
        <v>1.7</v>
      </c>
      <c r="N950" s="24">
        <v>2.3029999999999999</v>
      </c>
      <c r="O950" s="24">
        <v>2.9000000000000001E-2</v>
      </c>
      <c r="P950" s="24">
        <v>0.02</v>
      </c>
    </row>
    <row r="951" spans="1:16" ht="14" customHeight="1" x14ac:dyDescent="0.25">
      <c r="A951" s="156"/>
      <c r="B951" s="11">
        <v>8</v>
      </c>
      <c r="C951" s="11" t="s">
        <v>114</v>
      </c>
      <c r="D951" s="15">
        <v>0.7</v>
      </c>
      <c r="E951" s="15">
        <v>0.2</v>
      </c>
      <c r="F951" s="17">
        <v>2.63</v>
      </c>
      <c r="G951" s="17">
        <v>2.3E-2</v>
      </c>
      <c r="H951" s="17">
        <v>1.2E-2</v>
      </c>
      <c r="I951" s="15"/>
      <c r="J951" s="15">
        <v>8</v>
      </c>
      <c r="K951" s="11" t="s">
        <v>114</v>
      </c>
      <c r="L951" s="18">
        <v>4</v>
      </c>
      <c r="M951" s="18">
        <v>1.4</v>
      </c>
      <c r="N951" s="24">
        <v>1.798</v>
      </c>
      <c r="O951" s="24">
        <v>0.02</v>
      </c>
      <c r="P951" s="24">
        <v>1.7000000000000001E-2</v>
      </c>
    </row>
    <row r="952" spans="1:16" ht="14" customHeight="1" x14ac:dyDescent="0.25">
      <c r="A952" s="156"/>
      <c r="B952" s="11">
        <v>9</v>
      </c>
      <c r="C952" s="11" t="s">
        <v>287</v>
      </c>
      <c r="D952" s="15">
        <v>0.4</v>
      </c>
      <c r="E952" s="15">
        <v>0.1</v>
      </c>
      <c r="F952" s="17">
        <v>4.2220000000000004</v>
      </c>
      <c r="G952" s="17">
        <v>1.0999999999999999E-2</v>
      </c>
      <c r="H952" s="17">
        <v>4.0000000000000001E-3</v>
      </c>
      <c r="I952" s="15"/>
      <c r="J952" s="15">
        <v>9</v>
      </c>
      <c r="K952" s="15" t="s">
        <v>23</v>
      </c>
      <c r="L952" s="18">
        <v>2.9</v>
      </c>
      <c r="M952" s="18">
        <v>2.6</v>
      </c>
      <c r="N952" s="24">
        <v>8.5999999999999993E-2</v>
      </c>
      <c r="O952" s="24">
        <v>1.4999999999999999E-2</v>
      </c>
      <c r="P952" s="24">
        <v>3.1E-2</v>
      </c>
    </row>
    <row r="953" spans="1:16" ht="14" customHeight="1" x14ac:dyDescent="0.25">
      <c r="A953" s="156"/>
      <c r="B953" s="15">
        <v>10</v>
      </c>
      <c r="C953" s="15" t="s">
        <v>23</v>
      </c>
      <c r="D953" s="15">
        <v>0.3</v>
      </c>
      <c r="E953" s="15">
        <v>0.4</v>
      </c>
      <c r="F953" s="17">
        <v>-8.2000000000000003E-2</v>
      </c>
      <c r="G953" s="17">
        <v>0.01</v>
      </c>
      <c r="H953" s="17">
        <v>2.1999999999999999E-2</v>
      </c>
      <c r="I953" s="15"/>
      <c r="J953" s="15">
        <v>10</v>
      </c>
      <c r="K953" s="15" t="s">
        <v>28</v>
      </c>
      <c r="L953" s="18">
        <v>1.9</v>
      </c>
      <c r="M953" s="18">
        <v>1.5</v>
      </c>
      <c r="N953" s="24">
        <v>0.29299999999999998</v>
      </c>
      <c r="O953" s="24">
        <v>0.01</v>
      </c>
      <c r="P953" s="24">
        <v>1.7999999999999999E-2</v>
      </c>
    </row>
    <row r="954" spans="1:16" ht="14" customHeight="1" x14ac:dyDescent="0.25">
      <c r="A954" s="156"/>
      <c r="B954" s="15"/>
      <c r="C954" s="15" t="s">
        <v>207</v>
      </c>
      <c r="D954" s="15">
        <v>2.1</v>
      </c>
      <c r="E954" s="15">
        <v>1.2</v>
      </c>
      <c r="F954" s="17">
        <v>0.82899999999999996</v>
      </c>
      <c r="G954" s="17">
        <v>6.5000000000000002E-2</v>
      </c>
      <c r="H954" s="17">
        <v>6.9000000000000006E-2</v>
      </c>
      <c r="I954" s="15"/>
      <c r="J954" s="15"/>
      <c r="K954" s="15" t="s">
        <v>105</v>
      </c>
      <c r="L954" s="18">
        <v>12.6</v>
      </c>
      <c r="M954" s="18">
        <v>5.2</v>
      </c>
      <c r="N954" s="24">
        <v>1.423</v>
      </c>
      <c r="O954" s="24">
        <v>6.5000000000000002E-2</v>
      </c>
      <c r="P954" s="24">
        <v>6.2E-2</v>
      </c>
    </row>
    <row r="955" spans="1:16" ht="14" customHeight="1" x14ac:dyDescent="0.25">
      <c r="A955" s="156"/>
      <c r="B955" s="15"/>
      <c r="C955" s="15" t="s">
        <v>130</v>
      </c>
      <c r="D955" s="15">
        <v>32.9</v>
      </c>
      <c r="E955" s="15">
        <v>16.899999999999999</v>
      </c>
      <c r="F955" s="17">
        <v>0.94</v>
      </c>
      <c r="G955" s="17">
        <v>1</v>
      </c>
      <c r="H955" s="17">
        <v>1</v>
      </c>
      <c r="I955" s="15"/>
      <c r="J955" s="15"/>
      <c r="K955" s="15" t="s">
        <v>130</v>
      </c>
      <c r="L955" s="18">
        <v>195.4</v>
      </c>
      <c r="M955" s="18">
        <v>84.7</v>
      </c>
      <c r="N955" s="17">
        <v>1.3080000000000001</v>
      </c>
      <c r="O955" s="17">
        <v>1</v>
      </c>
      <c r="P955" s="17">
        <v>1</v>
      </c>
    </row>
    <row r="957" spans="1:16" ht="14" customHeight="1" x14ac:dyDescent="0.25">
      <c r="A957" s="156"/>
      <c r="B957" s="11" t="s">
        <v>288</v>
      </c>
      <c r="C957" s="11"/>
      <c r="D957" s="11"/>
      <c r="E957" s="11"/>
      <c r="F957" s="11"/>
      <c r="G957" s="11"/>
      <c r="H957" s="11"/>
      <c r="I957" s="15"/>
      <c r="J957" s="15" t="s">
        <v>289</v>
      </c>
      <c r="K957" s="15"/>
      <c r="L957" s="15"/>
      <c r="M957" s="15"/>
      <c r="N957" s="15"/>
      <c r="O957" s="15"/>
      <c r="P957" s="15"/>
    </row>
    <row r="958" spans="1:16" ht="14" customHeight="1" x14ac:dyDescent="0.25">
      <c r="A958" s="156"/>
      <c r="B958" s="11" t="s">
        <v>96</v>
      </c>
      <c r="C958" s="15" t="s">
        <v>123</v>
      </c>
      <c r="D958" s="19">
        <v>44409</v>
      </c>
      <c r="E958" s="19">
        <v>44044</v>
      </c>
      <c r="F958" s="26" t="s">
        <v>34</v>
      </c>
      <c r="G958" s="15" t="s">
        <v>217</v>
      </c>
      <c r="H958" s="15" t="s">
        <v>268</v>
      </c>
      <c r="I958" s="15"/>
      <c r="J958" s="15" t="s">
        <v>256</v>
      </c>
      <c r="K958" s="15" t="s">
        <v>123</v>
      </c>
      <c r="L958" s="27" t="s">
        <v>290</v>
      </c>
      <c r="M958" s="27" t="s">
        <v>291</v>
      </c>
      <c r="N958" s="26" t="s">
        <v>34</v>
      </c>
      <c r="O958" s="26" t="s">
        <v>217</v>
      </c>
      <c r="P958" s="26" t="s">
        <v>268</v>
      </c>
    </row>
    <row r="959" spans="1:16" ht="14" customHeight="1" x14ac:dyDescent="0.25">
      <c r="A959" s="156"/>
      <c r="B959" s="11">
        <v>1</v>
      </c>
      <c r="C959" s="15" t="s">
        <v>98</v>
      </c>
      <c r="D959" s="15">
        <v>8.6</v>
      </c>
      <c r="E959" s="15">
        <v>2.9</v>
      </c>
      <c r="F959" s="17">
        <v>1.9770000000000001</v>
      </c>
      <c r="G959" s="17">
        <v>0.34</v>
      </c>
      <c r="H959" s="17">
        <v>0.252</v>
      </c>
      <c r="I959" s="15"/>
      <c r="J959" s="15">
        <v>1</v>
      </c>
      <c r="K959" s="15" t="s">
        <v>98</v>
      </c>
      <c r="L959" s="18">
        <v>49.1</v>
      </c>
      <c r="M959" s="18">
        <v>15.8</v>
      </c>
      <c r="N959" s="24">
        <v>2.1080000000000001</v>
      </c>
      <c r="O959" s="24">
        <v>0.30299999999999999</v>
      </c>
      <c r="P959" s="24">
        <v>0.23400000000000001</v>
      </c>
    </row>
    <row r="960" spans="1:16" ht="14" customHeight="1" x14ac:dyDescent="0.25">
      <c r="A960" s="156"/>
      <c r="B960" s="11">
        <v>2</v>
      </c>
      <c r="C960" s="15" t="s">
        <v>227</v>
      </c>
      <c r="D960" s="15">
        <v>5.4</v>
      </c>
      <c r="E960" s="15">
        <v>2.4</v>
      </c>
      <c r="F960" s="17">
        <v>1.246</v>
      </c>
      <c r="G960" s="17">
        <v>0.215</v>
      </c>
      <c r="H960" s="17">
        <v>0.21099999999999999</v>
      </c>
      <c r="I960" s="15"/>
      <c r="J960" s="15">
        <v>2</v>
      </c>
      <c r="K960" s="15" t="s">
        <v>227</v>
      </c>
      <c r="L960" s="18">
        <v>39.700000000000003</v>
      </c>
      <c r="M960" s="18">
        <v>15.6</v>
      </c>
      <c r="N960" s="24">
        <v>1.544</v>
      </c>
      <c r="O960" s="24">
        <v>0.245</v>
      </c>
      <c r="P960" s="24">
        <v>0.23</v>
      </c>
    </row>
    <row r="961" spans="1:16" ht="14" customHeight="1" x14ac:dyDescent="0.25">
      <c r="A961" s="156"/>
      <c r="B961" s="11">
        <v>3</v>
      </c>
      <c r="C961" s="15" t="s">
        <v>102</v>
      </c>
      <c r="D961" s="15">
        <v>2.8</v>
      </c>
      <c r="E961" s="15">
        <v>2.2999999999999998</v>
      </c>
      <c r="F961" s="17">
        <v>0.22600000000000001</v>
      </c>
      <c r="G961" s="17">
        <v>0.111</v>
      </c>
      <c r="H961" s="17">
        <v>0.19900000000000001</v>
      </c>
      <c r="I961" s="15"/>
      <c r="J961" s="15">
        <v>3</v>
      </c>
      <c r="K961" s="15" t="s">
        <v>102</v>
      </c>
      <c r="L961" s="18">
        <v>21.5</v>
      </c>
      <c r="M961" s="18">
        <v>14.1</v>
      </c>
      <c r="N961" s="24">
        <v>0.52800000000000002</v>
      </c>
      <c r="O961" s="24">
        <v>0.13300000000000001</v>
      </c>
      <c r="P961" s="24">
        <v>0.20799999999999999</v>
      </c>
    </row>
    <row r="962" spans="1:16" ht="14" customHeight="1" x14ac:dyDescent="0.25">
      <c r="A962" s="156"/>
      <c r="B962" s="11">
        <v>4</v>
      </c>
      <c r="C962" s="18" t="s">
        <v>99</v>
      </c>
      <c r="D962" s="15">
        <v>2.5</v>
      </c>
      <c r="E962" s="15">
        <v>0.7</v>
      </c>
      <c r="F962" s="17">
        <v>2.569</v>
      </c>
      <c r="G962" s="17">
        <v>0.1</v>
      </c>
      <c r="H962" s="17">
        <v>6.2E-2</v>
      </c>
      <c r="I962" s="15"/>
      <c r="J962" s="15">
        <v>4</v>
      </c>
      <c r="K962" s="18" t="s">
        <v>99</v>
      </c>
      <c r="L962" s="18">
        <v>12.5</v>
      </c>
      <c r="M962" s="18">
        <v>4</v>
      </c>
      <c r="N962" s="24">
        <v>2.161</v>
      </c>
      <c r="O962" s="24">
        <v>7.6999999999999999E-2</v>
      </c>
      <c r="P962" s="24">
        <v>5.8000000000000003E-2</v>
      </c>
    </row>
    <row r="963" spans="1:16" ht="14" customHeight="1" x14ac:dyDescent="0.25">
      <c r="A963" s="156"/>
      <c r="B963" s="11">
        <v>5</v>
      </c>
      <c r="C963" s="15" t="s">
        <v>24</v>
      </c>
      <c r="D963" s="15">
        <v>1.4</v>
      </c>
      <c r="E963" s="15">
        <v>0.7</v>
      </c>
      <c r="F963" s="17">
        <v>1.0109999999999999</v>
      </c>
      <c r="G963" s="17">
        <v>5.5E-2</v>
      </c>
      <c r="H963" s="17">
        <v>0.06</v>
      </c>
      <c r="I963" s="15"/>
      <c r="J963" s="15">
        <v>5</v>
      </c>
      <c r="K963" s="15" t="s">
        <v>24</v>
      </c>
      <c r="L963" s="18">
        <v>8.8000000000000007</v>
      </c>
      <c r="M963" s="18">
        <v>3.7</v>
      </c>
      <c r="N963" s="24">
        <v>1.409</v>
      </c>
      <c r="O963" s="24">
        <v>5.3999999999999999E-2</v>
      </c>
      <c r="P963" s="24">
        <v>5.3999999999999999E-2</v>
      </c>
    </row>
    <row r="964" spans="1:16" ht="14" customHeight="1" x14ac:dyDescent="0.25">
      <c r="A964" s="156"/>
      <c r="B964" s="11">
        <v>6</v>
      </c>
      <c r="C964" s="15" t="s">
        <v>173</v>
      </c>
      <c r="D964" s="15">
        <v>0.9</v>
      </c>
      <c r="E964" s="15">
        <v>0.7</v>
      </c>
      <c r="F964" s="17">
        <v>0.22600000000000001</v>
      </c>
      <c r="G964" s="17">
        <v>3.4000000000000002E-2</v>
      </c>
      <c r="H964" s="17">
        <v>6.0999999999999999E-2</v>
      </c>
      <c r="I964" s="15"/>
      <c r="J964" s="15">
        <v>6</v>
      </c>
      <c r="K964" s="15" t="s">
        <v>173</v>
      </c>
      <c r="L964" s="18">
        <v>7.9</v>
      </c>
      <c r="M964" s="18">
        <v>4.4000000000000004</v>
      </c>
      <c r="N964" s="24">
        <v>0.77900000000000003</v>
      </c>
      <c r="O964" s="24">
        <v>4.9000000000000002E-2</v>
      </c>
      <c r="P964" s="24">
        <v>6.6000000000000003E-2</v>
      </c>
    </row>
    <row r="965" spans="1:16" ht="14" customHeight="1" x14ac:dyDescent="0.25">
      <c r="A965" s="156"/>
      <c r="B965" s="11">
        <v>7</v>
      </c>
      <c r="C965" s="11" t="s">
        <v>259</v>
      </c>
      <c r="D965" s="15">
        <v>0.7</v>
      </c>
      <c r="E965" s="15">
        <v>0.3</v>
      </c>
      <c r="F965" s="17">
        <v>1.7270000000000001</v>
      </c>
      <c r="G965" s="17">
        <v>2.9000000000000001E-2</v>
      </c>
      <c r="H965" s="17">
        <v>2.4E-2</v>
      </c>
      <c r="I965" s="15"/>
      <c r="J965" s="15">
        <v>7</v>
      </c>
      <c r="K965" s="11" t="s">
        <v>259</v>
      </c>
      <c r="L965" s="18">
        <v>4.5999999999999996</v>
      </c>
      <c r="M965" s="18">
        <v>1.2</v>
      </c>
      <c r="N965" s="24">
        <v>2.8809999999999998</v>
      </c>
      <c r="O965" s="24">
        <v>2.9000000000000001E-2</v>
      </c>
      <c r="P965" s="24">
        <v>1.7999999999999999E-2</v>
      </c>
    </row>
    <row r="966" spans="1:16" ht="14" customHeight="1" x14ac:dyDescent="0.25">
      <c r="A966" s="156"/>
      <c r="B966" s="11">
        <v>8</v>
      </c>
      <c r="C966" s="11" t="s">
        <v>114</v>
      </c>
      <c r="D966" s="15">
        <v>0.7</v>
      </c>
      <c r="E966" s="15">
        <v>0.2</v>
      </c>
      <c r="F966" s="17">
        <v>2.5510000000000002</v>
      </c>
      <c r="G966" s="17">
        <v>2.5999999999999999E-2</v>
      </c>
      <c r="H966" s="17">
        <v>1.6E-2</v>
      </c>
      <c r="I966" s="15"/>
      <c r="J966" s="15">
        <v>8</v>
      </c>
      <c r="K966" s="11" t="s">
        <v>114</v>
      </c>
      <c r="L966" s="18">
        <v>3.2</v>
      </c>
      <c r="M966" s="18">
        <v>1.2</v>
      </c>
      <c r="N966" s="24">
        <v>1.657</v>
      </c>
      <c r="O966" s="24">
        <v>0.02</v>
      </c>
      <c r="P966" s="24">
        <v>1.7999999999999999E-2</v>
      </c>
    </row>
    <row r="967" spans="1:16" ht="14" customHeight="1" x14ac:dyDescent="0.25">
      <c r="A967" s="156"/>
      <c r="B967" s="11">
        <v>9</v>
      </c>
      <c r="C967" s="11" t="s">
        <v>23</v>
      </c>
      <c r="D967" s="15">
        <v>0.3</v>
      </c>
      <c r="E967" s="15">
        <v>0.3</v>
      </c>
      <c r="F967" s="17">
        <v>2.3E-2</v>
      </c>
      <c r="G967" s="17">
        <v>0.01</v>
      </c>
      <c r="H967" s="17">
        <v>2.1999999999999999E-2</v>
      </c>
      <c r="I967" s="15"/>
      <c r="J967" s="15">
        <v>9</v>
      </c>
      <c r="K967" s="15" t="s">
        <v>23</v>
      </c>
      <c r="L967" s="18">
        <v>2.5</v>
      </c>
      <c r="M967" s="18">
        <v>2.2999999999999998</v>
      </c>
      <c r="N967" s="24">
        <v>0.109</v>
      </c>
      <c r="O967" s="24">
        <v>1.4999999999999999E-2</v>
      </c>
      <c r="P967" s="24">
        <v>3.3000000000000002E-2</v>
      </c>
    </row>
    <row r="968" spans="1:16" ht="14" customHeight="1" x14ac:dyDescent="0.25">
      <c r="A968" s="156"/>
      <c r="B968" s="15">
        <v>10</v>
      </c>
      <c r="C968" s="11" t="s">
        <v>33</v>
      </c>
      <c r="D968" s="15">
        <v>0.2</v>
      </c>
      <c r="E968" s="15">
        <v>0</v>
      </c>
      <c r="F968" s="17">
        <v>9.34</v>
      </c>
      <c r="G968" s="17">
        <v>8.9999999999999993E-3</v>
      </c>
      <c r="H968" s="17">
        <v>2E-3</v>
      </c>
      <c r="I968" s="15"/>
      <c r="J968" s="15">
        <v>10</v>
      </c>
      <c r="K968" s="15" t="s">
        <v>28</v>
      </c>
      <c r="L968" s="18">
        <v>1.7</v>
      </c>
      <c r="M968" s="18">
        <v>1.3</v>
      </c>
      <c r="N968" s="24">
        <v>0.33</v>
      </c>
      <c r="O968" s="24">
        <v>0.01</v>
      </c>
      <c r="P968" s="24">
        <v>1.9E-2</v>
      </c>
    </row>
    <row r="969" spans="1:16" ht="14" customHeight="1" x14ac:dyDescent="0.25">
      <c r="A969" s="156"/>
      <c r="B969" s="15"/>
      <c r="C969" s="11" t="s">
        <v>292</v>
      </c>
      <c r="D969" s="15">
        <v>1.8</v>
      </c>
      <c r="E969" s="15">
        <v>1</v>
      </c>
      <c r="F969" s="17">
        <v>0.73099999999999998</v>
      </c>
      <c r="G969" s="17">
        <v>7.0000000000000007E-2</v>
      </c>
      <c r="H969" s="17">
        <v>0.09</v>
      </c>
      <c r="I969" s="15"/>
      <c r="J969" s="15"/>
      <c r="K969" s="15" t="s">
        <v>105</v>
      </c>
      <c r="L969" s="18">
        <v>10.3</v>
      </c>
      <c r="M969" s="18">
        <v>4.2</v>
      </c>
      <c r="N969" s="24">
        <v>1.472</v>
      </c>
      <c r="O969" s="24">
        <v>6.4000000000000001E-2</v>
      </c>
      <c r="P969" s="24">
        <v>6.2E-2</v>
      </c>
    </row>
    <row r="970" spans="1:16" ht="14" customHeight="1" x14ac:dyDescent="0.25">
      <c r="A970" s="156"/>
      <c r="B970" s="15"/>
      <c r="C970" s="11" t="s">
        <v>274</v>
      </c>
      <c r="D970" s="15">
        <v>25.2</v>
      </c>
      <c r="E970" s="15">
        <v>11.4</v>
      </c>
      <c r="F970" s="17">
        <v>1.206</v>
      </c>
      <c r="G970" s="17">
        <v>1</v>
      </c>
      <c r="H970" s="17">
        <v>1</v>
      </c>
      <c r="I970" s="15"/>
      <c r="J970" s="15"/>
      <c r="K970" s="15" t="s">
        <v>130</v>
      </c>
      <c r="L970" s="18">
        <v>162</v>
      </c>
      <c r="M970" s="18">
        <v>67.7</v>
      </c>
      <c r="N970" s="17">
        <v>1.393</v>
      </c>
      <c r="O970" s="17">
        <v>1</v>
      </c>
      <c r="P970" s="17">
        <v>1</v>
      </c>
    </row>
    <row r="971" spans="1:16" ht="14" customHeight="1" x14ac:dyDescent="0.25">
      <c r="A971" s="156"/>
      <c r="B971" s="15"/>
      <c r="C971" s="11"/>
      <c r="D971" s="15"/>
      <c r="E971" s="15"/>
      <c r="F971" s="15"/>
      <c r="G971" s="15"/>
      <c r="H971" s="15"/>
      <c r="I971" s="15"/>
      <c r="J971" s="15"/>
      <c r="K971" s="15"/>
      <c r="L971" s="15"/>
      <c r="M971" s="15"/>
      <c r="N971" s="15"/>
      <c r="O971" s="15"/>
      <c r="P971" s="15"/>
    </row>
    <row r="972" spans="1:16" ht="14" customHeight="1" x14ac:dyDescent="0.25">
      <c r="A972" s="156"/>
      <c r="B972" s="11" t="s">
        <v>293</v>
      </c>
      <c r="C972" s="11"/>
      <c r="D972" s="11"/>
      <c r="E972" s="11"/>
      <c r="F972" s="11"/>
      <c r="G972" s="11"/>
      <c r="H972" s="11"/>
      <c r="I972" s="15"/>
      <c r="J972" s="15" t="s">
        <v>294</v>
      </c>
      <c r="K972" s="15"/>
      <c r="L972" s="15"/>
      <c r="M972" s="15"/>
      <c r="N972" s="15"/>
      <c r="O972" s="15"/>
      <c r="P972" s="15"/>
    </row>
    <row r="973" spans="1:16" ht="14" customHeight="1" x14ac:dyDescent="0.25">
      <c r="A973" s="156"/>
      <c r="B973" s="11" t="s">
        <v>96</v>
      </c>
      <c r="C973" s="15" t="s">
        <v>123</v>
      </c>
      <c r="D973" s="19">
        <v>44378</v>
      </c>
      <c r="E973" s="19">
        <v>44013</v>
      </c>
      <c r="F973" s="26" t="s">
        <v>34</v>
      </c>
      <c r="G973" s="15" t="s">
        <v>217</v>
      </c>
      <c r="H973" s="15" t="s">
        <v>268</v>
      </c>
      <c r="I973" s="15"/>
      <c r="J973" s="15" t="s">
        <v>256</v>
      </c>
      <c r="K973" s="15" t="s">
        <v>123</v>
      </c>
      <c r="L973" s="27" t="s">
        <v>295</v>
      </c>
      <c r="M973" s="27" t="s">
        <v>296</v>
      </c>
      <c r="N973" s="26" t="s">
        <v>34</v>
      </c>
      <c r="O973" s="26" t="s">
        <v>217</v>
      </c>
      <c r="P973" s="26" t="s">
        <v>268</v>
      </c>
    </row>
    <row r="974" spans="1:16" ht="14" customHeight="1" x14ac:dyDescent="0.25">
      <c r="A974" s="156"/>
      <c r="B974" s="11">
        <v>1</v>
      </c>
      <c r="C974" s="15" t="s">
        <v>98</v>
      </c>
      <c r="D974" s="15">
        <v>7.4</v>
      </c>
      <c r="E974" s="15">
        <v>2.7</v>
      </c>
      <c r="F974" s="17">
        <v>1.6859999999999999</v>
      </c>
      <c r="G974" s="17">
        <v>0.32600000000000001</v>
      </c>
      <c r="H974" s="17">
        <v>0.24399999999999999</v>
      </c>
      <c r="I974" s="15"/>
      <c r="J974" s="15">
        <v>1</v>
      </c>
      <c r="K974" s="15" t="s">
        <v>98</v>
      </c>
      <c r="L974" s="18">
        <v>41.2</v>
      </c>
      <c r="M974" s="18">
        <v>12.9</v>
      </c>
      <c r="N974" s="24">
        <v>2.1829999999999998</v>
      </c>
      <c r="O974" s="24">
        <v>0.3</v>
      </c>
      <c r="P974" s="24">
        <v>0.23</v>
      </c>
    </row>
    <row r="975" spans="1:16" ht="14" customHeight="1" x14ac:dyDescent="0.25">
      <c r="A975" s="156"/>
      <c r="B975" s="11">
        <v>2</v>
      </c>
      <c r="C975" s="15" t="s">
        <v>227</v>
      </c>
      <c r="D975" s="15">
        <v>5.0999999999999996</v>
      </c>
      <c r="E975" s="15">
        <v>2.8</v>
      </c>
      <c r="F975" s="17">
        <v>0.80600000000000005</v>
      </c>
      <c r="G975" s="17">
        <v>0.22500000000000001</v>
      </c>
      <c r="H975" s="17">
        <v>0.25</v>
      </c>
      <c r="I975" s="15"/>
      <c r="J975" s="15">
        <v>2</v>
      </c>
      <c r="K975" s="15" t="s">
        <v>227</v>
      </c>
      <c r="L975" s="18">
        <v>33.200000000000003</v>
      </c>
      <c r="M975" s="18">
        <v>13.2</v>
      </c>
      <c r="N975" s="24">
        <v>1.5169999999999999</v>
      </c>
      <c r="O975" s="24">
        <v>0.24199999999999999</v>
      </c>
      <c r="P975" s="24">
        <v>0.23400000000000001</v>
      </c>
    </row>
    <row r="976" spans="1:16" ht="14" customHeight="1" x14ac:dyDescent="0.25">
      <c r="A976" s="156"/>
      <c r="B976" s="11">
        <v>3</v>
      </c>
      <c r="C976" s="15" t="s">
        <v>102</v>
      </c>
      <c r="D976" s="15">
        <v>2.5</v>
      </c>
      <c r="E976" s="15">
        <v>1.7</v>
      </c>
      <c r="F976" s="17">
        <v>0.46700000000000003</v>
      </c>
      <c r="G976" s="17">
        <v>0.109</v>
      </c>
      <c r="H976" s="17">
        <v>0.14899999999999999</v>
      </c>
      <c r="I976" s="15"/>
      <c r="J976" s="15">
        <v>3</v>
      </c>
      <c r="K976" s="15" t="s">
        <v>102</v>
      </c>
      <c r="L976" s="18">
        <v>19.600000000000001</v>
      </c>
      <c r="M976" s="18">
        <v>11.8</v>
      </c>
      <c r="N976" s="24">
        <v>0.65800000000000003</v>
      </c>
      <c r="O976" s="24">
        <v>0.14299999999999999</v>
      </c>
      <c r="P976" s="24">
        <v>0.21</v>
      </c>
    </row>
    <row r="977" spans="1:16" ht="14" customHeight="1" x14ac:dyDescent="0.25">
      <c r="A977" s="156"/>
      <c r="B977" s="11">
        <v>4</v>
      </c>
      <c r="C977" s="18" t="s">
        <v>99</v>
      </c>
      <c r="D977" s="15">
        <v>2.1</v>
      </c>
      <c r="E977" s="15">
        <v>0.7</v>
      </c>
      <c r="F977" s="17">
        <v>2.1829999999999998</v>
      </c>
      <c r="G977" s="17">
        <v>9.2999999999999999E-2</v>
      </c>
      <c r="H977" s="17">
        <v>5.8999999999999997E-2</v>
      </c>
      <c r="I977" s="15"/>
      <c r="J977" s="15">
        <v>4</v>
      </c>
      <c r="K977" s="18" t="s">
        <v>99</v>
      </c>
      <c r="L977" s="18">
        <v>10</v>
      </c>
      <c r="M977" s="18">
        <v>3.2</v>
      </c>
      <c r="N977" s="24">
        <v>2.0699999999999998</v>
      </c>
      <c r="O977" s="24">
        <v>7.2999999999999995E-2</v>
      </c>
      <c r="P977" s="24">
        <v>5.8000000000000003E-2</v>
      </c>
    </row>
    <row r="978" spans="1:16" ht="14" customHeight="1" x14ac:dyDescent="0.25">
      <c r="A978" s="156"/>
      <c r="B978" s="11">
        <v>5</v>
      </c>
      <c r="C978" s="15" t="s">
        <v>24</v>
      </c>
      <c r="D978" s="15">
        <v>1.3</v>
      </c>
      <c r="E978" s="15">
        <v>0.7</v>
      </c>
      <c r="F978" s="17">
        <v>0.90500000000000003</v>
      </c>
      <c r="G978" s="17">
        <v>5.8999999999999997E-2</v>
      </c>
      <c r="H978" s="17">
        <v>6.3E-2</v>
      </c>
      <c r="I978" s="15"/>
      <c r="J978" s="15">
        <v>5</v>
      </c>
      <c r="K978" s="15" t="s">
        <v>24</v>
      </c>
      <c r="L978" s="18">
        <v>7.4</v>
      </c>
      <c r="M978" s="18">
        <v>3</v>
      </c>
      <c r="N978" s="24">
        <v>1.478</v>
      </c>
      <c r="O978" s="24">
        <v>5.3999999999999999E-2</v>
      </c>
      <c r="P978" s="24">
        <v>5.2999999999999999E-2</v>
      </c>
    </row>
    <row r="979" spans="1:16" ht="14" customHeight="1" x14ac:dyDescent="0.25">
      <c r="A979" s="156"/>
      <c r="B979" s="11">
        <v>6</v>
      </c>
      <c r="C979" s="15" t="s">
        <v>173</v>
      </c>
      <c r="D979" s="15">
        <v>1</v>
      </c>
      <c r="E979" s="15">
        <v>0.9</v>
      </c>
      <c r="F979" s="17">
        <v>0.124</v>
      </c>
      <c r="G979" s="17">
        <v>4.3999999999999997E-2</v>
      </c>
      <c r="H979" s="17">
        <v>7.8E-2</v>
      </c>
      <c r="I979" s="15"/>
      <c r="J979" s="15">
        <v>6</v>
      </c>
      <c r="K979" s="15" t="s">
        <v>173</v>
      </c>
      <c r="L979" s="18">
        <v>7</v>
      </c>
      <c r="M979" s="18">
        <v>3.7</v>
      </c>
      <c r="N979" s="24">
        <v>0.86899999999999999</v>
      </c>
      <c r="O979" s="24">
        <v>5.0999999999999997E-2</v>
      </c>
      <c r="P979" s="24">
        <v>6.7000000000000004E-2</v>
      </c>
    </row>
    <row r="980" spans="1:16" ht="14" customHeight="1" x14ac:dyDescent="0.25">
      <c r="A980" s="156"/>
      <c r="B980" s="11">
        <v>7</v>
      </c>
      <c r="C980" s="11" t="s">
        <v>259</v>
      </c>
      <c r="D980" s="15">
        <v>0.7</v>
      </c>
      <c r="E980" s="15">
        <v>0.2</v>
      </c>
      <c r="F980" s="17">
        <v>3.5510000000000002</v>
      </c>
      <c r="G980" s="17">
        <v>3.3000000000000002E-2</v>
      </c>
      <c r="H980" s="17">
        <v>1.4999999999999999E-2</v>
      </c>
      <c r="I980" s="15"/>
      <c r="J980" s="15">
        <v>7</v>
      </c>
      <c r="K980" s="11" t="s">
        <v>259</v>
      </c>
      <c r="L980" s="18">
        <v>3.9</v>
      </c>
      <c r="M980" s="18">
        <v>0.9</v>
      </c>
      <c r="N980" s="24">
        <v>3.22</v>
      </c>
      <c r="O980" s="24">
        <v>2.8000000000000001E-2</v>
      </c>
      <c r="P980" s="24">
        <v>1.6E-2</v>
      </c>
    </row>
    <row r="981" spans="1:16" ht="14" customHeight="1" x14ac:dyDescent="0.25">
      <c r="A981" s="156"/>
      <c r="B981" s="11">
        <v>8</v>
      </c>
      <c r="C981" s="11" t="s">
        <v>114</v>
      </c>
      <c r="D981" s="15">
        <v>0.5</v>
      </c>
      <c r="E981" s="15">
        <v>0.4</v>
      </c>
      <c r="F981" s="17">
        <v>0.3</v>
      </c>
      <c r="G981" s="17">
        <v>2.1000000000000001E-2</v>
      </c>
      <c r="H981" s="17">
        <v>3.2000000000000001E-2</v>
      </c>
      <c r="I981" s="15"/>
      <c r="J981" s="15">
        <v>8</v>
      </c>
      <c r="K981" s="11" t="s">
        <v>114</v>
      </c>
      <c r="L981" s="18">
        <v>2.6</v>
      </c>
      <c r="M981" s="18">
        <v>1</v>
      </c>
      <c r="N981" s="24">
        <v>1.5620000000000001</v>
      </c>
      <c r="O981" s="24">
        <v>1.9E-2</v>
      </c>
      <c r="P981" s="24">
        <v>1.7999999999999999E-2</v>
      </c>
    </row>
    <row r="982" spans="1:16" ht="14" customHeight="1" x14ac:dyDescent="0.25">
      <c r="A982" s="156"/>
      <c r="B982" s="11">
        <v>9</v>
      </c>
      <c r="C982" s="15" t="s">
        <v>23</v>
      </c>
      <c r="D982" s="15">
        <v>0.3</v>
      </c>
      <c r="E982" s="15">
        <v>0.3</v>
      </c>
      <c r="F982" s="17">
        <v>-7.1999999999999995E-2</v>
      </c>
      <c r="G982" s="17">
        <v>1.2E-2</v>
      </c>
      <c r="H982" s="17">
        <v>2.5000000000000001E-2</v>
      </c>
      <c r="I982" s="15"/>
      <c r="J982" s="15">
        <v>9</v>
      </c>
      <c r="K982" s="15" t="s">
        <v>23</v>
      </c>
      <c r="L982" s="18">
        <v>2.2000000000000002</v>
      </c>
      <c r="M982" s="18">
        <v>2</v>
      </c>
      <c r="N982" s="24">
        <v>0.11799999999999999</v>
      </c>
      <c r="O982" s="24">
        <v>1.6E-2</v>
      </c>
      <c r="P982" s="24">
        <v>3.5999999999999997E-2</v>
      </c>
    </row>
    <row r="983" spans="1:16" ht="14" customHeight="1" x14ac:dyDescent="0.25">
      <c r="A983" s="156"/>
      <c r="B983" s="15">
        <v>10</v>
      </c>
      <c r="C983" s="15" t="s">
        <v>28</v>
      </c>
      <c r="D983" s="15">
        <v>0.2</v>
      </c>
      <c r="E983" s="15">
        <v>0.2</v>
      </c>
      <c r="F983" s="17">
        <v>0.17499999999999999</v>
      </c>
      <c r="G983" s="17">
        <v>0.01</v>
      </c>
      <c r="H983" s="17">
        <v>1.7000000000000001E-2</v>
      </c>
      <c r="I983" s="15"/>
      <c r="J983" s="15">
        <v>10</v>
      </c>
      <c r="K983" s="15" t="s">
        <v>28</v>
      </c>
      <c r="L983" s="18">
        <v>1.5</v>
      </c>
      <c r="M983" s="18">
        <v>1.1000000000000001</v>
      </c>
      <c r="N983" s="24">
        <v>0.34200000000000003</v>
      </c>
      <c r="O983" s="24">
        <v>1.0999999999999999E-2</v>
      </c>
      <c r="P983" s="24">
        <v>0.02</v>
      </c>
    </row>
    <row r="984" spans="1:16" ht="14" customHeight="1" x14ac:dyDescent="0.25">
      <c r="A984" s="156"/>
      <c r="B984" s="15"/>
      <c r="C984" s="15" t="s">
        <v>207</v>
      </c>
      <c r="D984" s="15">
        <v>1.5</v>
      </c>
      <c r="E984" s="15">
        <v>0.8</v>
      </c>
      <c r="F984" s="17">
        <v>1.0329999999999999</v>
      </c>
      <c r="G984" s="17">
        <v>6.8000000000000005E-2</v>
      </c>
      <c r="H984" s="17">
        <v>6.8000000000000005E-2</v>
      </c>
      <c r="I984" s="15"/>
      <c r="J984" s="15"/>
      <c r="K984" s="15" t="s">
        <v>105</v>
      </c>
      <c r="L984" s="18">
        <v>8.5</v>
      </c>
      <c r="M984" s="18">
        <v>3.3</v>
      </c>
      <c r="N984" s="24">
        <v>1.589</v>
      </c>
      <c r="O984" s="24">
        <v>6.2E-2</v>
      </c>
      <c r="P984" s="24">
        <v>5.8999999999999997E-2</v>
      </c>
    </row>
    <row r="985" spans="1:16" ht="14" customHeight="1" x14ac:dyDescent="0.25">
      <c r="A985" s="156"/>
      <c r="B985" s="15"/>
      <c r="C985" s="15" t="s">
        <v>130</v>
      </c>
      <c r="D985" s="15">
        <v>22.6</v>
      </c>
      <c r="E985" s="15">
        <v>11.2</v>
      </c>
      <c r="F985" s="17">
        <v>1.01</v>
      </c>
      <c r="G985" s="17">
        <v>1</v>
      </c>
      <c r="H985" s="17">
        <v>1</v>
      </c>
      <c r="I985" s="15"/>
      <c r="J985" s="15"/>
      <c r="K985" s="15" t="s">
        <v>130</v>
      </c>
      <c r="L985" s="18">
        <v>137.1</v>
      </c>
      <c r="M985" s="18">
        <v>56.3</v>
      </c>
      <c r="N985" s="17">
        <v>1.4359999999999999</v>
      </c>
      <c r="O985" s="17">
        <v>1</v>
      </c>
      <c r="P985" s="17">
        <v>1</v>
      </c>
    </row>
    <row r="986" spans="1:16" ht="14" customHeight="1" x14ac:dyDescent="0.25">
      <c r="A986" s="156"/>
      <c r="B986" s="11"/>
      <c r="C986" s="15"/>
      <c r="D986" s="15"/>
      <c r="E986" s="15"/>
      <c r="F986" s="15"/>
      <c r="G986" s="15"/>
      <c r="H986" s="15"/>
      <c r="I986" s="15"/>
      <c r="J986" s="15"/>
      <c r="K986" s="15"/>
      <c r="L986" s="15"/>
      <c r="M986" s="15"/>
      <c r="N986" s="15"/>
      <c r="O986" s="15"/>
      <c r="P986" s="15"/>
    </row>
    <row r="987" spans="1:16" ht="14" customHeight="1" x14ac:dyDescent="0.25">
      <c r="A987" s="156"/>
      <c r="B987" s="15" t="s">
        <v>297</v>
      </c>
      <c r="C987" s="15"/>
      <c r="D987" s="29"/>
      <c r="E987" s="29"/>
      <c r="F987" s="26"/>
      <c r="G987" s="26"/>
      <c r="H987" s="26"/>
      <c r="I987" s="15"/>
      <c r="J987" s="15" t="s">
        <v>298</v>
      </c>
      <c r="K987" s="15"/>
      <c r="L987" s="15"/>
      <c r="M987" s="15"/>
      <c r="N987" s="15"/>
      <c r="O987" s="15"/>
      <c r="P987" s="15"/>
    </row>
    <row r="988" spans="1:16" ht="14" customHeight="1" x14ac:dyDescent="0.25">
      <c r="A988" s="156"/>
      <c r="B988" s="15" t="s">
        <v>256</v>
      </c>
      <c r="C988" s="15" t="s">
        <v>123</v>
      </c>
      <c r="D988" s="19">
        <v>44348</v>
      </c>
      <c r="E988" s="19">
        <v>43983</v>
      </c>
      <c r="F988" s="24" t="s">
        <v>34</v>
      </c>
      <c r="G988" s="24" t="s">
        <v>217</v>
      </c>
      <c r="H988" s="24" t="s">
        <v>268</v>
      </c>
      <c r="I988" s="15"/>
      <c r="J988" s="15" t="s">
        <v>256</v>
      </c>
      <c r="K988" s="15" t="s">
        <v>123</v>
      </c>
      <c r="L988" s="27" t="s">
        <v>299</v>
      </c>
      <c r="M988" s="27" t="s">
        <v>300</v>
      </c>
      <c r="N988" s="26" t="s">
        <v>34</v>
      </c>
      <c r="O988" s="26" t="s">
        <v>217</v>
      </c>
      <c r="P988" s="26" t="s">
        <v>268</v>
      </c>
    </row>
    <row r="989" spans="1:16" ht="14" customHeight="1" x14ac:dyDescent="0.25">
      <c r="A989" s="156"/>
      <c r="B989" s="15">
        <v>1</v>
      </c>
      <c r="C989" s="15" t="s">
        <v>98</v>
      </c>
      <c r="D989" s="18">
        <v>7.7</v>
      </c>
      <c r="E989" s="18">
        <v>2.8</v>
      </c>
      <c r="F989" s="24">
        <v>1.75</v>
      </c>
      <c r="G989" s="24">
        <v>0.30099999999999999</v>
      </c>
      <c r="H989" s="24">
        <v>0.246</v>
      </c>
      <c r="I989" s="15"/>
      <c r="J989" s="15">
        <v>1</v>
      </c>
      <c r="K989" s="15" t="s">
        <v>98</v>
      </c>
      <c r="L989" s="18">
        <v>34.1</v>
      </c>
      <c r="M989" s="18">
        <v>10.199999999999999</v>
      </c>
      <c r="N989" s="24">
        <v>2.3420000000000001</v>
      </c>
      <c r="O989" s="24">
        <v>0.22700000000000001</v>
      </c>
      <c r="P989" s="24">
        <v>0.29899999999999999</v>
      </c>
    </row>
    <row r="990" spans="1:16" ht="14" customHeight="1" x14ac:dyDescent="0.25">
      <c r="A990" s="156"/>
      <c r="B990" s="15">
        <v>2</v>
      </c>
      <c r="C990" s="15" t="s">
        <v>227</v>
      </c>
      <c r="D990" s="18">
        <v>6.3</v>
      </c>
      <c r="E990" s="18">
        <v>2.7</v>
      </c>
      <c r="F990" s="24">
        <v>1.3340000000000001</v>
      </c>
      <c r="G990" s="24">
        <v>0.24803149606299199</v>
      </c>
      <c r="H990" s="24">
        <v>0.23799999999999999</v>
      </c>
      <c r="I990" s="15"/>
      <c r="J990" s="15">
        <v>2</v>
      </c>
      <c r="K990" s="15" t="s">
        <v>227</v>
      </c>
      <c r="L990" s="18">
        <v>28</v>
      </c>
      <c r="M990" s="18">
        <v>10.4</v>
      </c>
      <c r="N990" s="24">
        <v>1.698</v>
      </c>
      <c r="O990" s="24">
        <v>0.23100000000000001</v>
      </c>
      <c r="P990" s="24">
        <v>0.245</v>
      </c>
    </row>
    <row r="991" spans="1:16" ht="14" customHeight="1" x14ac:dyDescent="0.25">
      <c r="A991" s="156"/>
      <c r="B991" s="15">
        <v>3</v>
      </c>
      <c r="C991" s="15" t="s">
        <v>102</v>
      </c>
      <c r="D991" s="18">
        <v>4</v>
      </c>
      <c r="E991" s="18">
        <v>2.6</v>
      </c>
      <c r="F991" s="24">
        <v>0.53900000000000003</v>
      </c>
      <c r="G991" s="24">
        <v>0.159</v>
      </c>
      <c r="H991" s="24">
        <v>0.23200000000000001</v>
      </c>
      <c r="I991" s="15"/>
      <c r="J991" s="15">
        <v>3</v>
      </c>
      <c r="K991" s="15" t="s">
        <v>102</v>
      </c>
      <c r="L991" s="18">
        <v>17.100000000000001</v>
      </c>
      <c r="M991" s="18">
        <v>10.1</v>
      </c>
      <c r="N991" s="24">
        <v>0.69</v>
      </c>
      <c r="O991" s="24">
        <v>0.22500000000000001</v>
      </c>
      <c r="P991" s="24">
        <v>0.15</v>
      </c>
    </row>
    <row r="992" spans="1:16" ht="14" customHeight="1" x14ac:dyDescent="0.25">
      <c r="A992" s="156"/>
      <c r="B992" s="15">
        <v>4</v>
      </c>
      <c r="C992" s="18" t="s">
        <v>99</v>
      </c>
      <c r="D992" s="18">
        <v>1.7</v>
      </c>
      <c r="E992" s="18">
        <v>0.6</v>
      </c>
      <c r="F992" s="24">
        <v>1.863</v>
      </c>
      <c r="G992" s="24">
        <v>6.8000000000000005E-2</v>
      </c>
      <c r="H992" s="24">
        <v>5.2999999999999999E-2</v>
      </c>
      <c r="I992" s="15"/>
      <c r="J992" s="15">
        <v>4</v>
      </c>
      <c r="K992" s="15" t="s">
        <v>99</v>
      </c>
      <c r="L992" s="18">
        <v>7.8</v>
      </c>
      <c r="M992" s="30">
        <v>2.6</v>
      </c>
      <c r="N992" s="24">
        <v>2.036</v>
      </c>
      <c r="O992" s="24">
        <v>5.7000000000000002E-2</v>
      </c>
      <c r="P992" s="24">
        <v>6.9000000000000006E-2</v>
      </c>
    </row>
    <row r="993" spans="1:16" ht="14" customHeight="1" x14ac:dyDescent="0.25">
      <c r="A993" s="156"/>
      <c r="B993" s="15">
        <v>5</v>
      </c>
      <c r="C993" s="15" t="s">
        <v>24</v>
      </c>
      <c r="D993" s="18">
        <v>1.4</v>
      </c>
      <c r="E993" s="18">
        <v>0.5</v>
      </c>
      <c r="F993" s="24">
        <v>1.897</v>
      </c>
      <c r="G993" s="24">
        <v>5.3999999999999999E-2</v>
      </c>
      <c r="H993" s="24">
        <v>4.2000000000000003E-2</v>
      </c>
      <c r="I993" s="15"/>
      <c r="J993" s="15">
        <v>5</v>
      </c>
      <c r="K993" s="18" t="s">
        <v>173</v>
      </c>
      <c r="L993" s="18">
        <v>5.9</v>
      </c>
      <c r="M993" s="17">
        <v>2.9</v>
      </c>
      <c r="N993" s="24">
        <v>1.073</v>
      </c>
      <c r="O993" s="24">
        <v>6.4000000000000001E-2</v>
      </c>
      <c r="P993" s="24">
        <v>5.1999999999999998E-2</v>
      </c>
    </row>
    <row r="994" spans="1:16" ht="14" customHeight="1" x14ac:dyDescent="0.25">
      <c r="A994" s="156"/>
      <c r="B994" s="15">
        <v>6</v>
      </c>
      <c r="C994" s="15" t="s">
        <v>173</v>
      </c>
      <c r="D994" s="18">
        <v>1.2</v>
      </c>
      <c r="E994" s="18">
        <v>0.6</v>
      </c>
      <c r="F994" s="24">
        <v>1.077</v>
      </c>
      <c r="G994" s="24">
        <v>4.7244094488188997E-2</v>
      </c>
      <c r="H994" s="24">
        <v>5.0999999999999997E-2</v>
      </c>
      <c r="I994" s="15"/>
      <c r="J994" s="15">
        <v>6</v>
      </c>
      <c r="K994" s="15" t="s">
        <v>24</v>
      </c>
      <c r="L994" s="18">
        <v>5.9</v>
      </c>
      <c r="M994" s="18">
        <v>2.2999999999999998</v>
      </c>
      <c r="N994" s="24">
        <v>1.623</v>
      </c>
      <c r="O994" s="24">
        <v>0.05</v>
      </c>
      <c r="P994" s="24">
        <v>5.1999999999999998E-2</v>
      </c>
    </row>
    <row r="995" spans="1:16" ht="14" customHeight="1" x14ac:dyDescent="0.25">
      <c r="A995" s="156"/>
      <c r="B995" s="15">
        <v>7</v>
      </c>
      <c r="C995" s="11" t="s">
        <v>259</v>
      </c>
      <c r="D995" s="18">
        <v>0.6</v>
      </c>
      <c r="E995" s="18">
        <v>0.3</v>
      </c>
      <c r="F995" s="24">
        <v>1.3220000000000001</v>
      </c>
      <c r="G995" s="24">
        <v>2.5000000000000001E-2</v>
      </c>
      <c r="H995" s="24">
        <v>2.4E-2</v>
      </c>
      <c r="I995" s="15"/>
      <c r="J995" s="15">
        <v>7</v>
      </c>
      <c r="K995" s="15" t="s">
        <v>228</v>
      </c>
      <c r="L995" s="18">
        <v>3.2</v>
      </c>
      <c r="M995" s="18">
        <v>0.8</v>
      </c>
      <c r="N995" s="24">
        <v>3.1480000000000001</v>
      </c>
      <c r="O995" s="24">
        <v>1.7000000000000001E-2</v>
      </c>
      <c r="P995" s="24">
        <v>2.8000000000000001E-2</v>
      </c>
    </row>
    <row r="996" spans="1:16" ht="14" customHeight="1" x14ac:dyDescent="0.25">
      <c r="A996" s="156"/>
      <c r="B996" s="15">
        <v>8</v>
      </c>
      <c r="C996" s="11" t="s">
        <v>114</v>
      </c>
      <c r="D996" s="18">
        <v>0.5</v>
      </c>
      <c r="E996" s="18">
        <v>0.2</v>
      </c>
      <c r="F996" s="24">
        <v>1.3560000000000001</v>
      </c>
      <c r="G996" s="24">
        <v>1.9E-2</v>
      </c>
      <c r="H996" s="24">
        <v>1.7999999999999999E-2</v>
      </c>
      <c r="I996" s="15"/>
      <c r="J996" s="15">
        <v>8</v>
      </c>
      <c r="K996" s="11" t="s">
        <v>114</v>
      </c>
      <c r="L996" s="18">
        <v>2.2000000000000002</v>
      </c>
      <c r="M996" s="18">
        <v>0.7</v>
      </c>
      <c r="N996" s="24">
        <v>2.2570000000000001</v>
      </c>
      <c r="O996" s="24">
        <v>1.4999999999999999E-2</v>
      </c>
      <c r="P996" s="24">
        <v>1.9E-2</v>
      </c>
    </row>
    <row r="997" spans="1:16" ht="14" customHeight="1" x14ac:dyDescent="0.25">
      <c r="A997" s="156"/>
      <c r="B997" s="15">
        <v>9</v>
      </c>
      <c r="C997" s="15" t="s">
        <v>23</v>
      </c>
      <c r="D997" s="18">
        <v>0.3</v>
      </c>
      <c r="E997" s="18">
        <v>0.2</v>
      </c>
      <c r="F997" s="24">
        <v>0.32200000000000001</v>
      </c>
      <c r="G997" s="24">
        <v>1.2E-2</v>
      </c>
      <c r="H997" s="24">
        <v>0.02</v>
      </c>
      <c r="I997" s="15"/>
      <c r="J997" s="15">
        <v>9</v>
      </c>
      <c r="K997" s="11" t="s">
        <v>23</v>
      </c>
      <c r="L997" s="18">
        <v>2</v>
      </c>
      <c r="M997" s="18">
        <v>1.7</v>
      </c>
      <c r="N997" s="24">
        <v>0.14499999999999999</v>
      </c>
      <c r="O997" s="24">
        <v>3.7999999999999999E-2</v>
      </c>
      <c r="P997" s="24">
        <v>1.7000000000000001E-2</v>
      </c>
    </row>
    <row r="998" spans="1:16" ht="14" customHeight="1" x14ac:dyDescent="0.25">
      <c r="A998" s="156"/>
      <c r="B998" s="15">
        <v>10</v>
      </c>
      <c r="C998" s="15" t="s">
        <v>28</v>
      </c>
      <c r="D998" s="18">
        <v>0.2</v>
      </c>
      <c r="E998" s="18">
        <v>0.2</v>
      </c>
      <c r="F998" s="24">
        <v>0.23499999999999999</v>
      </c>
      <c r="G998" s="24">
        <v>8.0000000000000002E-3</v>
      </c>
      <c r="H998" s="24">
        <v>1.4999999999999999E-2</v>
      </c>
      <c r="I998" s="15"/>
      <c r="J998" s="15">
        <v>10</v>
      </c>
      <c r="K998" s="15" t="s">
        <v>28</v>
      </c>
      <c r="L998" s="18">
        <v>1.2</v>
      </c>
      <c r="M998" s="18">
        <v>0.9</v>
      </c>
      <c r="N998" s="24">
        <v>0.39500000000000002</v>
      </c>
      <c r="O998" s="24">
        <v>0.02</v>
      </c>
      <c r="P998" s="24">
        <v>1.0999999999999999E-2</v>
      </c>
    </row>
    <row r="999" spans="1:16" ht="14" customHeight="1" x14ac:dyDescent="0.25">
      <c r="A999" s="156"/>
      <c r="B999" s="15"/>
      <c r="C999" s="15" t="s">
        <v>105</v>
      </c>
      <c r="D999" s="18">
        <v>1.5</v>
      </c>
      <c r="E999" s="18">
        <v>0.7</v>
      </c>
      <c r="F999" s="24">
        <v>1.2310000000000001</v>
      </c>
      <c r="G999" s="24">
        <v>0.06</v>
      </c>
      <c r="H999" s="24">
        <v>0.06</v>
      </c>
      <c r="I999" s="15"/>
      <c r="J999" s="15"/>
      <c r="K999" s="15" t="s">
        <v>105</v>
      </c>
      <c r="L999" s="18">
        <v>6.7</v>
      </c>
      <c r="M999" s="18">
        <v>2.5</v>
      </c>
      <c r="N999" s="24">
        <v>1.643</v>
      </c>
      <c r="O999" s="24">
        <v>5.6000000000000001E-2</v>
      </c>
      <c r="P999" s="24">
        <v>5.8999999999999997E-2</v>
      </c>
    </row>
    <row r="1000" spans="1:16" ht="14" customHeight="1" x14ac:dyDescent="0.25">
      <c r="A1000" s="156"/>
      <c r="B1000" s="15"/>
      <c r="C1000" s="15" t="s">
        <v>130</v>
      </c>
      <c r="D1000" s="27" t="s">
        <v>43</v>
      </c>
      <c r="E1000" s="27" t="s">
        <v>44</v>
      </c>
      <c r="F1000" s="17">
        <v>1.2470000000000001</v>
      </c>
      <c r="G1000" s="17">
        <v>1</v>
      </c>
      <c r="H1000" s="17">
        <v>1</v>
      </c>
      <c r="I1000" s="15"/>
      <c r="J1000" s="15"/>
      <c r="K1000" s="15" t="s">
        <v>130</v>
      </c>
      <c r="L1000" s="18">
        <v>114.1</v>
      </c>
      <c r="M1000" s="18">
        <v>45</v>
      </c>
      <c r="N1000" s="24">
        <v>1.5369999999999999</v>
      </c>
      <c r="O1000" s="31">
        <v>1</v>
      </c>
      <c r="P1000" s="31">
        <v>1.0009999999999999</v>
      </c>
    </row>
    <row r="1002" spans="1:16" ht="14" customHeight="1" x14ac:dyDescent="0.25">
      <c r="A1002" s="156"/>
      <c r="B1002" s="11" t="s">
        <v>301</v>
      </c>
      <c r="C1002" s="11"/>
      <c r="D1002" s="11"/>
      <c r="E1002" s="11"/>
      <c r="F1002" s="11"/>
      <c r="G1002" s="11"/>
      <c r="H1002" s="11"/>
      <c r="I1002" s="15"/>
      <c r="J1002" s="15" t="s">
        <v>302</v>
      </c>
      <c r="K1002" s="15"/>
      <c r="L1002" s="15"/>
      <c r="M1002" s="15"/>
      <c r="N1002" s="15"/>
      <c r="O1002" s="15"/>
      <c r="P1002" s="15"/>
    </row>
    <row r="1003" spans="1:16" ht="14" customHeight="1" x14ac:dyDescent="0.25">
      <c r="A1003" s="156"/>
      <c r="B1003" s="11" t="s">
        <v>96</v>
      </c>
      <c r="C1003" s="11" t="s">
        <v>284</v>
      </c>
      <c r="D1003" s="32">
        <v>44317</v>
      </c>
      <c r="E1003" s="32">
        <v>43952</v>
      </c>
      <c r="F1003" s="33" t="s">
        <v>34</v>
      </c>
      <c r="G1003" s="11" t="s">
        <v>303</v>
      </c>
      <c r="H1003" s="11" t="s">
        <v>304</v>
      </c>
      <c r="I1003" s="15"/>
      <c r="J1003" s="15" t="s">
        <v>256</v>
      </c>
      <c r="K1003" s="15" t="s">
        <v>123</v>
      </c>
      <c r="L1003" s="27" t="s">
        <v>305</v>
      </c>
      <c r="M1003" s="27" t="s">
        <v>306</v>
      </c>
      <c r="N1003" s="26" t="s">
        <v>34</v>
      </c>
      <c r="O1003" s="26" t="s">
        <v>217</v>
      </c>
      <c r="P1003" s="26" t="s">
        <v>268</v>
      </c>
    </row>
    <row r="1004" spans="1:16" ht="14" customHeight="1" x14ac:dyDescent="0.25">
      <c r="A1004" s="156"/>
      <c r="B1004" s="11">
        <v>1</v>
      </c>
      <c r="C1004" s="11" t="s">
        <v>109</v>
      </c>
      <c r="D1004" s="22">
        <v>6.1</v>
      </c>
      <c r="E1004" s="22">
        <v>1.9</v>
      </c>
      <c r="F1004" s="34">
        <v>2.2749999999999999</v>
      </c>
      <c r="G1004" s="35">
        <v>0.28899999999999998</v>
      </c>
      <c r="H1004" s="35">
        <v>0.27700000000000002</v>
      </c>
      <c r="I1004" s="15"/>
      <c r="J1004" s="15">
        <v>1</v>
      </c>
      <c r="K1004" s="15" t="s">
        <v>98</v>
      </c>
      <c r="L1004" s="18">
        <v>27.6</v>
      </c>
      <c r="M1004" s="18">
        <v>7.4</v>
      </c>
      <c r="N1004" s="24">
        <v>2.7210000000000001</v>
      </c>
      <c r="O1004" s="24">
        <v>0.312</v>
      </c>
      <c r="P1004" s="24">
        <v>0.22</v>
      </c>
    </row>
    <row r="1005" spans="1:16" ht="14" customHeight="1" x14ac:dyDescent="0.25">
      <c r="A1005" s="156"/>
      <c r="B1005" s="11">
        <v>2</v>
      </c>
      <c r="C1005" s="11" t="s">
        <v>286</v>
      </c>
      <c r="D1005" s="22">
        <v>5.3</v>
      </c>
      <c r="E1005" s="22">
        <v>1.5</v>
      </c>
      <c r="F1005" s="34">
        <v>2.4460000000000002</v>
      </c>
      <c r="G1005" s="35">
        <v>0.251</v>
      </c>
      <c r="H1005" s="35">
        <v>0.22800000000000001</v>
      </c>
      <c r="I1005" s="15"/>
      <c r="J1005" s="15">
        <v>2</v>
      </c>
      <c r="K1005" s="15" t="s">
        <v>227</v>
      </c>
      <c r="L1005" s="18">
        <v>20.6</v>
      </c>
      <c r="M1005" s="18">
        <v>7.7</v>
      </c>
      <c r="N1005" s="24">
        <v>1.667</v>
      </c>
      <c r="O1005" s="24">
        <v>0.23100000000000001</v>
      </c>
      <c r="P1005" s="24">
        <v>0.22800000000000001</v>
      </c>
    </row>
    <row r="1006" spans="1:16" ht="14" customHeight="1" x14ac:dyDescent="0.25">
      <c r="A1006" s="156"/>
      <c r="B1006" s="11">
        <v>3</v>
      </c>
      <c r="C1006" s="11" t="s">
        <v>112</v>
      </c>
      <c r="D1006" s="22">
        <v>3.3</v>
      </c>
      <c r="E1006" s="22">
        <v>1.1000000000000001</v>
      </c>
      <c r="F1006" s="34">
        <v>2.0739999999999998</v>
      </c>
      <c r="G1006" s="35">
        <v>0.158</v>
      </c>
      <c r="H1006" s="35">
        <v>0.161</v>
      </c>
      <c r="I1006" s="15"/>
      <c r="J1006" s="15">
        <v>3</v>
      </c>
      <c r="K1006" s="15" t="s">
        <v>102</v>
      </c>
      <c r="L1006" s="18">
        <v>13</v>
      </c>
      <c r="M1006" s="18">
        <v>7.5</v>
      </c>
      <c r="N1006" s="24">
        <v>0.73499999999999999</v>
      </c>
      <c r="O1006" s="24">
        <v>0.14699999999999999</v>
      </c>
      <c r="P1006" s="24">
        <v>0.223</v>
      </c>
    </row>
    <row r="1007" spans="1:16" ht="14" customHeight="1" x14ac:dyDescent="0.25">
      <c r="A1007" s="156"/>
      <c r="B1007" s="11">
        <v>4</v>
      </c>
      <c r="C1007" s="11" t="s">
        <v>110</v>
      </c>
      <c r="D1007" s="22">
        <v>1.5</v>
      </c>
      <c r="E1007" s="22">
        <v>0.4</v>
      </c>
      <c r="F1007" s="34">
        <v>2.7589999999999999</v>
      </c>
      <c r="G1007" s="35">
        <v>7.1999999999999995E-2</v>
      </c>
      <c r="H1007" s="35">
        <v>0.06</v>
      </c>
      <c r="I1007" s="15"/>
      <c r="J1007" s="15">
        <v>4</v>
      </c>
      <c r="K1007" s="15" t="s">
        <v>99</v>
      </c>
      <c r="L1007" s="18">
        <v>6.1</v>
      </c>
      <c r="M1007" s="18">
        <v>2</v>
      </c>
      <c r="N1007" s="24">
        <v>2.0739999999999998</v>
      </c>
      <c r="O1007" s="24">
        <v>6.9000000000000006E-2</v>
      </c>
      <c r="P1007" s="24">
        <v>5.8999999999999997E-2</v>
      </c>
    </row>
    <row r="1008" spans="1:16" ht="14" customHeight="1" x14ac:dyDescent="0.25">
      <c r="A1008" s="156"/>
      <c r="B1008" s="11">
        <v>5</v>
      </c>
      <c r="C1008" s="11" t="s">
        <v>115</v>
      </c>
      <c r="D1008" s="22">
        <v>1</v>
      </c>
      <c r="E1008" s="22">
        <v>0.3</v>
      </c>
      <c r="F1008" s="34">
        <v>2.0539999999999998</v>
      </c>
      <c r="G1008" s="35">
        <v>4.9000000000000002E-2</v>
      </c>
      <c r="H1008" s="35">
        <v>5.0999999999999997E-2</v>
      </c>
      <c r="I1008" s="15"/>
      <c r="J1008" s="15">
        <v>5</v>
      </c>
      <c r="K1008" s="15" t="s">
        <v>173</v>
      </c>
      <c r="L1008" s="18">
        <v>4.7</v>
      </c>
      <c r="M1008" s="18">
        <v>2.2999999999999998</v>
      </c>
      <c r="N1008" s="24">
        <v>1.048</v>
      </c>
      <c r="O1008" s="24">
        <v>5.2999999999999999E-2</v>
      </c>
      <c r="P1008" s="24">
        <v>6.8000000000000005E-2</v>
      </c>
    </row>
    <row r="1009" spans="1:16" ht="14" customHeight="1" x14ac:dyDescent="0.25">
      <c r="A1009" s="156"/>
      <c r="B1009" s="11">
        <v>6</v>
      </c>
      <c r="C1009" s="11" t="s">
        <v>24</v>
      </c>
      <c r="D1009" s="22">
        <v>1</v>
      </c>
      <c r="E1009" s="22">
        <v>0.4</v>
      </c>
      <c r="F1009" s="34">
        <v>1.5660000000000001</v>
      </c>
      <c r="G1009" s="35">
        <v>4.8000000000000001E-2</v>
      </c>
      <c r="H1009" s="35">
        <v>5.8000000000000003E-2</v>
      </c>
      <c r="I1009" s="15"/>
      <c r="J1009" s="15">
        <v>6</v>
      </c>
      <c r="K1009" s="15" t="s">
        <v>24</v>
      </c>
      <c r="L1009" s="18">
        <v>4.5</v>
      </c>
      <c r="M1009" s="18">
        <v>1.8</v>
      </c>
      <c r="N1009" s="24">
        <v>1.522</v>
      </c>
      <c r="O1009" s="24">
        <v>5.0999999999999997E-2</v>
      </c>
      <c r="P1009" s="24">
        <v>5.2999999999999999E-2</v>
      </c>
    </row>
    <row r="1010" spans="1:16" ht="14" customHeight="1" x14ac:dyDescent="0.25">
      <c r="A1010" s="156"/>
      <c r="B1010" s="11">
        <v>7</v>
      </c>
      <c r="C1010" s="11" t="s">
        <v>259</v>
      </c>
      <c r="D1010" s="22">
        <v>0.7</v>
      </c>
      <c r="E1010" s="22">
        <v>0.2</v>
      </c>
      <c r="F1010" s="34">
        <v>2.371</v>
      </c>
      <c r="G1010" s="35">
        <v>3.5000000000000003E-2</v>
      </c>
      <c r="H1010" s="35">
        <v>3.3000000000000002E-2</v>
      </c>
      <c r="I1010" s="15"/>
      <c r="J1010" s="15">
        <v>7</v>
      </c>
      <c r="K1010" s="15" t="s">
        <v>228</v>
      </c>
      <c r="L1010" s="18">
        <v>2.5</v>
      </c>
      <c r="M1010" s="18">
        <v>0.5</v>
      </c>
      <c r="N1010" s="24">
        <v>4.1790000000000003</v>
      </c>
      <c r="O1010" s="24">
        <v>2.8000000000000001E-2</v>
      </c>
      <c r="P1010" s="24">
        <v>1.4E-2</v>
      </c>
    </row>
    <row r="1011" spans="1:16" ht="14" customHeight="1" x14ac:dyDescent="0.25">
      <c r="A1011" s="156"/>
      <c r="B1011" s="11">
        <v>8</v>
      </c>
      <c r="C1011" s="11" t="s">
        <v>114</v>
      </c>
      <c r="D1011" s="22">
        <v>0.4</v>
      </c>
      <c r="E1011" s="22">
        <v>0.1</v>
      </c>
      <c r="F1011" s="34">
        <v>2.2749999999999999</v>
      </c>
      <c r="G1011" s="35">
        <v>1.7999999999999999E-2</v>
      </c>
      <c r="H1011" s="35">
        <v>1.7999999999999999E-2</v>
      </c>
      <c r="I1011" s="15"/>
      <c r="J1011" s="15">
        <v>8</v>
      </c>
      <c r="K1011" s="15" t="s">
        <v>101</v>
      </c>
      <c r="L1011" s="18">
        <v>1.7</v>
      </c>
      <c r="M1011" s="18">
        <v>0.5</v>
      </c>
      <c r="N1011" s="24">
        <v>2.6480000000000001</v>
      </c>
      <c r="O1011" s="24">
        <v>1.9E-2</v>
      </c>
      <c r="P1011" s="24">
        <v>1.4E-2</v>
      </c>
    </row>
    <row r="1012" spans="1:16" ht="14" customHeight="1" x14ac:dyDescent="0.25">
      <c r="A1012" s="156"/>
      <c r="B1012" s="11">
        <v>9</v>
      </c>
      <c r="C1012" s="11" t="s">
        <v>23</v>
      </c>
      <c r="D1012" s="22">
        <v>0.3</v>
      </c>
      <c r="E1012" s="22">
        <v>0.2</v>
      </c>
      <c r="F1012" s="34">
        <v>0.747</v>
      </c>
      <c r="G1012" s="35">
        <v>1.4999999999999999E-2</v>
      </c>
      <c r="H1012" s="35">
        <v>2.7E-2</v>
      </c>
      <c r="I1012" s="15"/>
      <c r="J1012" s="15">
        <v>9</v>
      </c>
      <c r="K1012" s="15" t="s">
        <v>23</v>
      </c>
      <c r="L1012" s="18">
        <v>1.6</v>
      </c>
      <c r="M1012" s="18">
        <v>1.5</v>
      </c>
      <c r="N1012" s="24">
        <v>0.111</v>
      </c>
      <c r="O1012" s="24">
        <v>1.9E-2</v>
      </c>
      <c r="P1012" s="24">
        <v>4.3999999999999997E-2</v>
      </c>
    </row>
    <row r="1013" spans="1:16" ht="14" customHeight="1" x14ac:dyDescent="0.25">
      <c r="A1013" s="156"/>
      <c r="B1013" s="11">
        <v>10</v>
      </c>
      <c r="C1013" s="11" t="s">
        <v>28</v>
      </c>
      <c r="D1013" s="22">
        <v>0.2</v>
      </c>
      <c r="E1013" s="22">
        <v>0.1</v>
      </c>
      <c r="F1013" s="34">
        <v>0.72699999999999998</v>
      </c>
      <c r="G1013" s="35">
        <v>8.9999999999999993E-3</v>
      </c>
      <c r="H1013" s="35">
        <v>1.7000000000000001E-2</v>
      </c>
      <c r="I1013" s="15"/>
      <c r="J1013" s="15">
        <v>10</v>
      </c>
      <c r="K1013" s="15" t="s">
        <v>28</v>
      </c>
      <c r="L1013" s="18">
        <v>1</v>
      </c>
      <c r="M1013" s="18">
        <v>0.7</v>
      </c>
      <c r="N1013" s="24">
        <v>0.42499999999999999</v>
      </c>
      <c r="O1013" s="24">
        <v>1.0999999999999999E-2</v>
      </c>
      <c r="P1013" s="24">
        <v>2.1000000000000001E-2</v>
      </c>
    </row>
    <row r="1014" spans="1:16" ht="14" customHeight="1" x14ac:dyDescent="0.25">
      <c r="A1014" s="156"/>
      <c r="B1014" s="11"/>
      <c r="C1014" s="11" t="s">
        <v>118</v>
      </c>
      <c r="D1014" s="22">
        <v>1.2</v>
      </c>
      <c r="E1014" s="22">
        <v>0.5</v>
      </c>
      <c r="F1014" s="34">
        <v>1.3959999999999999</v>
      </c>
      <c r="G1014" s="35">
        <v>5.5E-2</v>
      </c>
      <c r="H1014" s="35">
        <v>7.1999999999999995E-2</v>
      </c>
      <c r="I1014" s="15"/>
      <c r="J1014" s="15"/>
      <c r="K1014" s="15" t="s">
        <v>105</v>
      </c>
      <c r="L1014" s="18">
        <v>5.2</v>
      </c>
      <c r="M1014" s="18">
        <v>1.9</v>
      </c>
      <c r="N1014" s="24">
        <v>1.792</v>
      </c>
      <c r="O1014" s="24">
        <v>5.8999999999999997E-2</v>
      </c>
      <c r="P1014" s="24">
        <v>5.5E-2</v>
      </c>
    </row>
    <row r="1015" spans="1:16" ht="14" customHeight="1" x14ac:dyDescent="0.25">
      <c r="A1015" s="156"/>
      <c r="B1015" s="15"/>
      <c r="C1015" s="15" t="s">
        <v>130</v>
      </c>
      <c r="D1015" s="18">
        <v>21.1</v>
      </c>
      <c r="E1015" s="18">
        <v>6.7</v>
      </c>
      <c r="F1015" s="17">
        <v>2.1309999999999998</v>
      </c>
      <c r="G1015" s="17">
        <v>1</v>
      </c>
      <c r="H1015" s="17">
        <v>1</v>
      </c>
      <c r="I1015" s="15"/>
      <c r="J1015" s="15"/>
      <c r="K1015" s="15" t="s">
        <v>130</v>
      </c>
      <c r="L1015" s="18">
        <v>88.4</v>
      </c>
      <c r="M1015" s="18">
        <v>33.6</v>
      </c>
      <c r="N1015" s="17">
        <v>1.627</v>
      </c>
      <c r="O1015" s="17">
        <v>1</v>
      </c>
      <c r="P1015" s="17">
        <v>1</v>
      </c>
    </row>
    <row r="1016" spans="1:16" ht="14" customHeight="1" x14ac:dyDescent="0.25">
      <c r="A1016" s="156"/>
      <c r="B1016" s="15"/>
      <c r="C1016" s="15"/>
      <c r="D1016" s="15"/>
      <c r="E1016" s="15"/>
      <c r="F1016" s="15"/>
      <c r="G1016" s="15"/>
      <c r="H1016" s="15"/>
      <c r="I1016" s="15"/>
      <c r="J1016" s="15"/>
      <c r="K1016" s="15"/>
      <c r="L1016" s="15"/>
      <c r="M1016" s="15"/>
      <c r="N1016" s="15"/>
      <c r="O1016" s="15"/>
      <c r="P1016" s="15"/>
    </row>
    <row r="1017" spans="1:16" ht="14" customHeight="1" x14ac:dyDescent="0.25">
      <c r="A1017" s="156"/>
      <c r="B1017" s="11" t="s">
        <v>307</v>
      </c>
      <c r="C1017" s="11"/>
      <c r="D1017" s="11"/>
      <c r="E1017" s="11"/>
      <c r="F1017" s="11"/>
      <c r="G1017" s="11"/>
      <c r="H1017" s="11"/>
      <c r="I1017" s="15"/>
      <c r="J1017" s="15" t="s">
        <v>308</v>
      </c>
      <c r="K1017" s="15"/>
      <c r="L1017" s="15"/>
      <c r="M1017" s="15"/>
      <c r="N1017" s="15"/>
      <c r="O1017" s="15"/>
      <c r="P1017" s="15"/>
    </row>
    <row r="1018" spans="1:16" ht="14" customHeight="1" x14ac:dyDescent="0.25">
      <c r="A1018" s="156"/>
      <c r="B1018" s="11" t="s">
        <v>96</v>
      </c>
      <c r="C1018" s="15" t="s">
        <v>123</v>
      </c>
      <c r="D1018" s="19">
        <v>44287</v>
      </c>
      <c r="E1018" s="19">
        <v>43922</v>
      </c>
      <c r="F1018" s="26" t="s">
        <v>34</v>
      </c>
      <c r="G1018" s="15" t="s">
        <v>217</v>
      </c>
      <c r="H1018" s="15" t="s">
        <v>268</v>
      </c>
      <c r="I1018" s="15"/>
      <c r="J1018" s="15" t="s">
        <v>256</v>
      </c>
      <c r="K1018" s="15" t="s">
        <v>123</v>
      </c>
      <c r="L1018" s="27" t="s">
        <v>252</v>
      </c>
      <c r="M1018" s="27" t="s">
        <v>309</v>
      </c>
      <c r="N1018" s="26" t="s">
        <v>34</v>
      </c>
      <c r="O1018" s="26" t="s">
        <v>217</v>
      </c>
      <c r="P1018" s="26" t="s">
        <v>268</v>
      </c>
    </row>
    <row r="1019" spans="1:16" ht="14" customHeight="1" x14ac:dyDescent="0.25">
      <c r="A1019" s="156"/>
      <c r="B1019" s="11">
        <v>1</v>
      </c>
      <c r="C1019" s="15" t="s">
        <v>98</v>
      </c>
      <c r="D1019" s="15">
        <v>6.2</v>
      </c>
      <c r="E1019" s="15">
        <v>2</v>
      </c>
      <c r="F1019" s="17">
        <v>2.1349999999999998</v>
      </c>
      <c r="G1019" s="17">
        <v>0.35199999999999998</v>
      </c>
      <c r="H1019" s="17">
        <v>0.34200000000000003</v>
      </c>
      <c r="I1019" s="15"/>
      <c r="J1019" s="15">
        <v>1</v>
      </c>
      <c r="K1019" s="15" t="s">
        <v>98</v>
      </c>
      <c r="L1019" s="18">
        <v>21.4</v>
      </c>
      <c r="M1019" s="18">
        <v>5.5</v>
      </c>
      <c r="N1019" s="24">
        <v>2.859</v>
      </c>
      <c r="O1019" s="24">
        <v>0.32500000000000001</v>
      </c>
      <c r="P1019" s="24">
        <v>0.20699999999999999</v>
      </c>
    </row>
    <row r="1020" spans="1:16" ht="14" customHeight="1" x14ac:dyDescent="0.25">
      <c r="A1020" s="156"/>
      <c r="B1020" s="11">
        <v>2</v>
      </c>
      <c r="C1020" s="15" t="s">
        <v>227</v>
      </c>
      <c r="D1020" s="15">
        <v>4.2</v>
      </c>
      <c r="E1020" s="15">
        <v>0.9</v>
      </c>
      <c r="F1020" s="17">
        <v>3.5550000000000002</v>
      </c>
      <c r="G1020" s="17">
        <v>0.23899999999999999</v>
      </c>
      <c r="H1020" s="17">
        <v>0.16</v>
      </c>
      <c r="I1020" s="15"/>
      <c r="J1020" s="15">
        <v>2</v>
      </c>
      <c r="K1020" s="15" t="s">
        <v>227</v>
      </c>
      <c r="L1020" s="18">
        <v>14.2</v>
      </c>
      <c r="M1020" s="18">
        <v>6.1</v>
      </c>
      <c r="N1020" s="24">
        <v>1.3260000000000001</v>
      </c>
      <c r="O1020" s="24">
        <v>0.215</v>
      </c>
      <c r="P1020" s="24">
        <v>0.22800000000000001</v>
      </c>
    </row>
    <row r="1021" spans="1:16" ht="14" customHeight="1" x14ac:dyDescent="0.25">
      <c r="A1021" s="156"/>
      <c r="B1021" s="11">
        <v>3</v>
      </c>
      <c r="C1021" s="15" t="s">
        <v>102</v>
      </c>
      <c r="D1021" s="15">
        <v>1.7</v>
      </c>
      <c r="E1021" s="15">
        <v>0.9</v>
      </c>
      <c r="F1021" s="17">
        <v>0.76100000000000001</v>
      </c>
      <c r="G1021" s="17">
        <v>9.5000000000000001E-2</v>
      </c>
      <c r="H1021" s="17">
        <v>0.16400000000000001</v>
      </c>
      <c r="I1021" s="15"/>
      <c r="J1021" s="15">
        <v>3</v>
      </c>
      <c r="K1021" s="15" t="s">
        <v>102</v>
      </c>
      <c r="L1021" s="18">
        <v>9.6999999999999993</v>
      </c>
      <c r="M1021" s="18">
        <v>6.4</v>
      </c>
      <c r="N1021" s="24">
        <v>0.50700000000000001</v>
      </c>
      <c r="O1021" s="24">
        <v>0.14699999999999999</v>
      </c>
      <c r="P1021" s="24">
        <v>0.23899999999999999</v>
      </c>
    </row>
    <row r="1022" spans="1:16" ht="14" customHeight="1" x14ac:dyDescent="0.25">
      <c r="A1022" s="156"/>
      <c r="B1022" s="11">
        <v>4</v>
      </c>
      <c r="C1022" s="15" t="s">
        <v>45</v>
      </c>
      <c r="D1022" s="15">
        <v>1.3</v>
      </c>
      <c r="E1022" s="15">
        <v>0.6</v>
      </c>
      <c r="F1022" s="17">
        <v>1.2569999999999999</v>
      </c>
      <c r="G1022" s="17">
        <v>7.2999999999999995E-2</v>
      </c>
      <c r="H1022" s="17">
        <v>9.8000000000000004E-2</v>
      </c>
      <c r="I1022" s="15"/>
      <c r="J1022" s="15">
        <v>4</v>
      </c>
      <c r="K1022" s="15" t="s">
        <v>45</v>
      </c>
      <c r="L1022" s="18">
        <v>4.5</v>
      </c>
      <c r="M1022" s="18">
        <v>1.6</v>
      </c>
      <c r="N1022" s="24">
        <v>1.8759999999999999</v>
      </c>
      <c r="O1022" s="24">
        <v>6.9000000000000006E-2</v>
      </c>
      <c r="P1022" s="24">
        <v>5.8999999999999997E-2</v>
      </c>
    </row>
    <row r="1023" spans="1:16" ht="14" customHeight="1" x14ac:dyDescent="0.25">
      <c r="A1023" s="156"/>
      <c r="B1023" s="11">
        <v>5</v>
      </c>
      <c r="C1023" s="11" t="s">
        <v>115</v>
      </c>
      <c r="D1023" s="15">
        <v>0.9</v>
      </c>
      <c r="E1023" s="15">
        <v>0.3</v>
      </c>
      <c r="F1023" s="17">
        <v>2.2639999999999998</v>
      </c>
      <c r="G1023" s="17">
        <v>4.9000000000000002E-2</v>
      </c>
      <c r="H1023" s="17">
        <v>4.5999999999999999E-2</v>
      </c>
      <c r="I1023" s="15"/>
      <c r="J1023" s="15">
        <v>5</v>
      </c>
      <c r="K1023" s="11" t="s">
        <v>115</v>
      </c>
      <c r="L1023" s="18">
        <v>3.5</v>
      </c>
      <c r="M1023" s="18">
        <v>1.9</v>
      </c>
      <c r="N1023" s="24">
        <v>0.878</v>
      </c>
      <c r="O1023" s="24">
        <v>5.3999999999999999E-2</v>
      </c>
      <c r="P1023" s="24">
        <v>7.0000000000000007E-2</v>
      </c>
    </row>
    <row r="1024" spans="1:16" ht="14" customHeight="1" x14ac:dyDescent="0.25">
      <c r="A1024" s="156"/>
      <c r="B1024" s="11">
        <v>6</v>
      </c>
      <c r="C1024" s="11" t="s">
        <v>24</v>
      </c>
      <c r="D1024" s="15">
        <v>0.8</v>
      </c>
      <c r="E1024" s="15">
        <v>0.2</v>
      </c>
      <c r="F1024" s="17">
        <v>2.4670000000000001</v>
      </c>
      <c r="G1024" s="17">
        <v>4.8000000000000001E-2</v>
      </c>
      <c r="H1024" s="17">
        <v>4.2000000000000003E-2</v>
      </c>
      <c r="I1024" s="15"/>
      <c r="J1024" s="15">
        <v>6</v>
      </c>
      <c r="K1024" s="11" t="s">
        <v>24</v>
      </c>
      <c r="L1024" s="18">
        <v>3.4</v>
      </c>
      <c r="M1024" s="18">
        <v>1.4</v>
      </c>
      <c r="N1024" s="24">
        <v>1.389</v>
      </c>
      <c r="O1024" s="24">
        <v>5.0999999999999997E-2</v>
      </c>
      <c r="P1024" s="24">
        <v>5.2999999999999999E-2</v>
      </c>
    </row>
    <row r="1025" spans="1:16" ht="14" customHeight="1" x14ac:dyDescent="0.25">
      <c r="A1025" s="156"/>
      <c r="B1025" s="11">
        <v>7</v>
      </c>
      <c r="C1025" s="15" t="s">
        <v>228</v>
      </c>
      <c r="D1025" s="15">
        <v>0.5</v>
      </c>
      <c r="E1025" s="15">
        <v>0.1</v>
      </c>
      <c r="F1025" s="17">
        <v>2.5419999999999998</v>
      </c>
      <c r="G1025" s="17">
        <v>2.8000000000000001E-2</v>
      </c>
      <c r="H1025" s="17">
        <v>2.4E-2</v>
      </c>
      <c r="I1025" s="15"/>
      <c r="J1025" s="15">
        <v>7</v>
      </c>
      <c r="K1025" s="15" t="s">
        <v>228</v>
      </c>
      <c r="L1025" s="18">
        <v>1.8</v>
      </c>
      <c r="M1025" s="18">
        <v>0.3</v>
      </c>
      <c r="N1025" s="24">
        <v>5.6719999999999997</v>
      </c>
      <c r="O1025" s="24">
        <v>2.7E-2</v>
      </c>
      <c r="P1025" s="24">
        <v>0.01</v>
      </c>
    </row>
    <row r="1026" spans="1:16" ht="14" customHeight="1" x14ac:dyDescent="0.25">
      <c r="A1026" s="156"/>
      <c r="B1026" s="11">
        <v>8</v>
      </c>
      <c r="C1026" s="15" t="s">
        <v>101</v>
      </c>
      <c r="D1026" s="15">
        <v>0.4</v>
      </c>
      <c r="E1026" s="15">
        <v>0.1</v>
      </c>
      <c r="F1026" s="17">
        <v>3.5190000000000001</v>
      </c>
      <c r="G1026" s="17">
        <v>2.3E-2</v>
      </c>
      <c r="H1026" s="17">
        <v>1.4999999999999999E-2</v>
      </c>
      <c r="I1026" s="15"/>
      <c r="J1026" s="15">
        <v>8</v>
      </c>
      <c r="K1026" s="15" t="s">
        <v>23</v>
      </c>
      <c r="L1026" s="18">
        <v>1.3</v>
      </c>
      <c r="M1026" s="18">
        <v>1.3</v>
      </c>
      <c r="N1026" s="24">
        <v>1.0999999999999999E-2</v>
      </c>
      <c r="O1026" s="24">
        <v>0.02</v>
      </c>
      <c r="P1026" s="24">
        <v>4.9000000000000002E-2</v>
      </c>
    </row>
    <row r="1027" spans="1:16" ht="14" customHeight="1" x14ac:dyDescent="0.25">
      <c r="A1027" s="156"/>
      <c r="B1027" s="11">
        <v>9</v>
      </c>
      <c r="C1027" s="15" t="s">
        <v>23</v>
      </c>
      <c r="D1027" s="15">
        <v>0.3</v>
      </c>
      <c r="E1027" s="15">
        <v>0.1</v>
      </c>
      <c r="F1027" s="17">
        <v>1.32</v>
      </c>
      <c r="G1027" s="17">
        <v>1.7000000000000001E-2</v>
      </c>
      <c r="H1027" s="17">
        <v>2.1999999999999999E-2</v>
      </c>
      <c r="I1027" s="15"/>
      <c r="J1027" s="15">
        <v>9</v>
      </c>
      <c r="K1027" s="15" t="s">
        <v>101</v>
      </c>
      <c r="L1027" s="18">
        <v>1.3</v>
      </c>
      <c r="M1027" s="18">
        <v>0.3</v>
      </c>
      <c r="N1027" s="24">
        <v>2.83</v>
      </c>
      <c r="O1027" s="24">
        <v>0.02</v>
      </c>
      <c r="P1027" s="24">
        <v>1.2999999999999999E-2</v>
      </c>
    </row>
    <row r="1028" spans="1:16" ht="14" customHeight="1" x14ac:dyDescent="0.25">
      <c r="A1028" s="156"/>
      <c r="B1028" s="15">
        <v>10</v>
      </c>
      <c r="C1028" s="15" t="s">
        <v>28</v>
      </c>
      <c r="D1028" s="15">
        <v>0.2</v>
      </c>
      <c r="E1028" s="15">
        <v>0.1</v>
      </c>
      <c r="F1028" s="17">
        <v>1.214</v>
      </c>
      <c r="G1028" s="17">
        <v>1.2E-2</v>
      </c>
      <c r="H1028" s="17">
        <v>1.6E-2</v>
      </c>
      <c r="I1028" s="15"/>
      <c r="J1028" s="15">
        <v>10</v>
      </c>
      <c r="K1028" s="15" t="s">
        <v>28</v>
      </c>
      <c r="L1028" s="18">
        <v>0.8</v>
      </c>
      <c r="M1028" s="18">
        <v>0.6</v>
      </c>
      <c r="N1028" s="24">
        <v>0.38700000000000001</v>
      </c>
      <c r="O1028" s="24">
        <v>1.2999999999999999E-2</v>
      </c>
      <c r="P1028" s="24">
        <v>2.1999999999999999E-2</v>
      </c>
    </row>
    <row r="1029" spans="1:16" ht="14" customHeight="1" x14ac:dyDescent="0.25">
      <c r="A1029" s="156"/>
      <c r="B1029" s="15"/>
      <c r="C1029" s="15" t="s">
        <v>207</v>
      </c>
      <c r="D1029" s="15">
        <v>1.1000000000000001</v>
      </c>
      <c r="E1029" s="15">
        <v>0.4</v>
      </c>
      <c r="F1029" s="17">
        <v>1.8779999999999999</v>
      </c>
      <c r="G1029" s="17">
        <v>6.6000000000000003E-2</v>
      </c>
      <c r="H1029" s="17">
        <v>7.0000000000000007E-2</v>
      </c>
      <c r="I1029" s="15"/>
      <c r="J1029" s="15"/>
      <c r="K1029" s="15" t="s">
        <v>105</v>
      </c>
      <c r="L1029" s="18">
        <v>4</v>
      </c>
      <c r="M1029" s="18">
        <v>1.4</v>
      </c>
      <c r="N1029" s="24">
        <v>1.927</v>
      </c>
      <c r="O1029" s="24">
        <v>6.0999999999999999E-2</v>
      </c>
      <c r="P1029" s="24">
        <v>5.0999999999999997E-2</v>
      </c>
    </row>
    <row r="1030" spans="1:16" ht="14" customHeight="1" x14ac:dyDescent="0.25">
      <c r="A1030" s="156"/>
      <c r="B1030" s="15"/>
      <c r="C1030" s="15" t="s">
        <v>130</v>
      </c>
      <c r="D1030" s="15">
        <v>17.5</v>
      </c>
      <c r="E1030" s="15">
        <v>5.7</v>
      </c>
      <c r="F1030" s="17">
        <v>2.052</v>
      </c>
      <c r="G1030" s="17">
        <v>1</v>
      </c>
      <c r="H1030" s="17">
        <v>1</v>
      </c>
      <c r="I1030" s="15"/>
      <c r="J1030" s="15"/>
      <c r="K1030" s="15" t="s">
        <v>130</v>
      </c>
      <c r="L1030" s="18">
        <v>65.900000000000006</v>
      </c>
      <c r="M1030" s="18">
        <v>26.8</v>
      </c>
      <c r="N1030" s="17">
        <v>1.4590000000000001</v>
      </c>
      <c r="O1030" s="17">
        <v>1</v>
      </c>
      <c r="P1030" s="17">
        <v>1</v>
      </c>
    </row>
    <row r="1031" spans="1:16" ht="14" customHeight="1" x14ac:dyDescent="0.25">
      <c r="A1031" s="156"/>
      <c r="B1031" s="11"/>
      <c r="C1031" s="11"/>
      <c r="D1031" s="11"/>
      <c r="E1031" s="11"/>
      <c r="F1031" s="11"/>
      <c r="G1031" s="11"/>
      <c r="H1031" s="11"/>
      <c r="I1031" s="15"/>
      <c r="J1031" s="15"/>
      <c r="K1031" s="15"/>
      <c r="L1031" s="15"/>
      <c r="M1031" s="15"/>
      <c r="N1031" s="15"/>
      <c r="O1031" s="15"/>
      <c r="P1031" s="15"/>
    </row>
    <row r="1032" spans="1:16" ht="14" customHeight="1" x14ac:dyDescent="0.25">
      <c r="A1032" s="156"/>
      <c r="B1032" s="11" t="s">
        <v>310</v>
      </c>
      <c r="C1032" s="11"/>
      <c r="D1032" s="11"/>
      <c r="E1032" s="11"/>
      <c r="F1032" s="11"/>
      <c r="G1032" s="11"/>
      <c r="H1032" s="11"/>
      <c r="I1032" s="15"/>
      <c r="J1032" s="15" t="s">
        <v>311</v>
      </c>
      <c r="K1032" s="15"/>
      <c r="L1032" s="15"/>
      <c r="M1032" s="15"/>
      <c r="N1032" s="15"/>
      <c r="O1032" s="15"/>
      <c r="P1032" s="15"/>
    </row>
    <row r="1033" spans="1:16" ht="14" customHeight="1" x14ac:dyDescent="0.25">
      <c r="A1033" s="156"/>
      <c r="B1033" s="11" t="s">
        <v>96</v>
      </c>
      <c r="C1033" s="15" t="s">
        <v>123</v>
      </c>
      <c r="D1033" s="19">
        <v>44256</v>
      </c>
      <c r="E1033" s="19">
        <v>43891</v>
      </c>
      <c r="F1033" s="26" t="s">
        <v>34</v>
      </c>
      <c r="G1033" s="15" t="s">
        <v>217</v>
      </c>
      <c r="H1033" s="15" t="s">
        <v>268</v>
      </c>
      <c r="I1033" s="15"/>
      <c r="J1033" s="15" t="s">
        <v>256</v>
      </c>
      <c r="K1033" s="15" t="s">
        <v>123</v>
      </c>
      <c r="L1033" s="27" t="s">
        <v>312</v>
      </c>
      <c r="M1033" s="27" t="s">
        <v>313</v>
      </c>
      <c r="N1033" s="26" t="s">
        <v>34</v>
      </c>
      <c r="O1033" s="26" t="s">
        <v>217</v>
      </c>
      <c r="P1033" s="26" t="s">
        <v>268</v>
      </c>
    </row>
    <row r="1034" spans="1:16" ht="14" customHeight="1" x14ac:dyDescent="0.25">
      <c r="A1034" s="156"/>
      <c r="B1034" s="11">
        <v>1</v>
      </c>
      <c r="C1034" s="15" t="s">
        <v>98</v>
      </c>
      <c r="D1034" s="15">
        <v>7</v>
      </c>
      <c r="E1034" s="15">
        <v>1.4</v>
      </c>
      <c r="F1034" s="17">
        <v>3.5950000000000002</v>
      </c>
      <c r="G1034" s="17">
        <v>0.316</v>
      </c>
      <c r="H1034" s="17">
        <v>0.16600000000000001</v>
      </c>
      <c r="I1034" s="15"/>
      <c r="J1034" s="15">
        <v>1</v>
      </c>
      <c r="K1034" s="15" t="s">
        <v>98</v>
      </c>
      <c r="L1034" s="18">
        <v>15.1</v>
      </c>
      <c r="M1034" s="18">
        <v>3.6</v>
      </c>
      <c r="N1034" s="24">
        <v>3.2080000000000002</v>
      </c>
      <c r="O1034" s="24">
        <v>0.315</v>
      </c>
      <c r="P1034" s="24">
        <v>0.17</v>
      </c>
    </row>
    <row r="1035" spans="1:16" ht="14" customHeight="1" x14ac:dyDescent="0.25">
      <c r="A1035" s="156"/>
      <c r="B1035" s="11">
        <v>2</v>
      </c>
      <c r="C1035" s="15" t="s">
        <v>227</v>
      </c>
      <c r="D1035" s="15">
        <v>4.8</v>
      </c>
      <c r="E1035" s="15">
        <v>1.9</v>
      </c>
      <c r="F1035" s="17">
        <v>1.5629999999999999</v>
      </c>
      <c r="G1035" s="17">
        <v>0.216</v>
      </c>
      <c r="H1035" s="17">
        <v>0.217</v>
      </c>
      <c r="I1035" s="15"/>
      <c r="J1035" s="15">
        <v>2</v>
      </c>
      <c r="K1035" s="15" t="s">
        <v>227</v>
      </c>
      <c r="L1035" s="18">
        <v>9.8000000000000007</v>
      </c>
      <c r="M1035" s="18">
        <v>5.2</v>
      </c>
      <c r="N1035" s="24">
        <v>0.89300000000000002</v>
      </c>
      <c r="O1035" s="24">
        <v>0.20499999999999999</v>
      </c>
      <c r="P1035" s="24">
        <v>0.246</v>
      </c>
    </row>
    <row r="1036" spans="1:16" ht="14" customHeight="1" x14ac:dyDescent="0.25">
      <c r="A1036" s="156"/>
      <c r="B1036" s="11">
        <v>3</v>
      </c>
      <c r="C1036" s="15" t="s">
        <v>102</v>
      </c>
      <c r="D1036" s="15">
        <v>3.6</v>
      </c>
      <c r="E1036" s="15">
        <v>2.7</v>
      </c>
      <c r="F1036" s="17">
        <v>0.36</v>
      </c>
      <c r="G1036" s="17">
        <v>0.16400000000000001</v>
      </c>
      <c r="H1036" s="17">
        <v>0.31</v>
      </c>
      <c r="I1036" s="15"/>
      <c r="J1036" s="15">
        <v>3</v>
      </c>
      <c r="K1036" s="15" t="s">
        <v>102</v>
      </c>
      <c r="L1036" s="18">
        <v>8</v>
      </c>
      <c r="M1036" s="18">
        <v>5.5</v>
      </c>
      <c r="N1036" s="24">
        <v>0.45900000000000002</v>
      </c>
      <c r="O1036" s="24">
        <v>0.16700000000000001</v>
      </c>
      <c r="P1036" s="24">
        <v>0.26</v>
      </c>
    </row>
    <row r="1037" spans="1:16" ht="14" customHeight="1" x14ac:dyDescent="0.25">
      <c r="A1037" s="156"/>
      <c r="B1037" s="11">
        <v>4</v>
      </c>
      <c r="C1037" s="15" t="s">
        <v>45</v>
      </c>
      <c r="D1037" s="15">
        <v>1.5</v>
      </c>
      <c r="E1037" s="15">
        <v>0.7</v>
      </c>
      <c r="F1037" s="17">
        <v>1.238</v>
      </c>
      <c r="G1037" s="17">
        <v>6.6000000000000003E-2</v>
      </c>
      <c r="H1037" s="17">
        <v>7.5999999999999998E-2</v>
      </c>
      <c r="I1037" s="15"/>
      <c r="J1037" s="15">
        <v>4</v>
      </c>
      <c r="K1037" s="15" t="s">
        <v>45</v>
      </c>
      <c r="L1037" s="18">
        <v>3.2</v>
      </c>
      <c r="M1037" s="18">
        <v>1</v>
      </c>
      <c r="N1037" s="24">
        <v>2.2109999999999999</v>
      </c>
      <c r="O1037" s="24">
        <v>6.8000000000000005E-2</v>
      </c>
      <c r="P1037" s="24">
        <v>4.8000000000000001E-2</v>
      </c>
    </row>
    <row r="1038" spans="1:16" ht="14" customHeight="1" x14ac:dyDescent="0.25">
      <c r="A1038" s="156"/>
      <c r="B1038" s="11">
        <v>5</v>
      </c>
      <c r="C1038" s="11" t="s">
        <v>115</v>
      </c>
      <c r="D1038" s="15">
        <v>1.2</v>
      </c>
      <c r="E1038" s="15">
        <v>0.5</v>
      </c>
      <c r="F1038" s="17">
        <v>1.1140000000000001</v>
      </c>
      <c r="G1038" s="17">
        <v>5.1999999999999998E-2</v>
      </c>
      <c r="H1038" s="17">
        <v>6.4000000000000001E-2</v>
      </c>
      <c r="I1038" s="15"/>
      <c r="J1038" s="15">
        <v>5</v>
      </c>
      <c r="K1038" s="11" t="s">
        <v>115</v>
      </c>
      <c r="L1038" s="18">
        <v>2.5</v>
      </c>
      <c r="M1038" s="18">
        <v>1.6</v>
      </c>
      <c r="N1038" s="24">
        <v>0.57199999999999995</v>
      </c>
      <c r="O1038" s="24">
        <v>5.2999999999999999E-2</v>
      </c>
      <c r="P1038" s="24">
        <v>7.6999999999999999E-2</v>
      </c>
    </row>
    <row r="1039" spans="1:16" ht="14" customHeight="1" x14ac:dyDescent="0.25">
      <c r="A1039" s="156"/>
      <c r="B1039" s="11">
        <v>6</v>
      </c>
      <c r="C1039" s="11" t="s">
        <v>24</v>
      </c>
      <c r="D1039" s="15">
        <v>1.1000000000000001</v>
      </c>
      <c r="E1039" s="15">
        <v>0.4</v>
      </c>
      <c r="F1039" s="17">
        <v>1.758</v>
      </c>
      <c r="G1039" s="17">
        <v>5.1999999999999998E-2</v>
      </c>
      <c r="H1039" s="17">
        <v>4.8000000000000001E-2</v>
      </c>
      <c r="I1039" s="15"/>
      <c r="J1039" s="15">
        <v>6</v>
      </c>
      <c r="K1039" s="11" t="s">
        <v>24</v>
      </c>
      <c r="L1039" s="18">
        <v>2.4</v>
      </c>
      <c r="M1039" s="18">
        <v>1.2</v>
      </c>
      <c r="N1039" s="24">
        <v>1.0860000000000001</v>
      </c>
      <c r="O1039" s="24">
        <v>5.0999999999999997E-2</v>
      </c>
      <c r="P1039" s="24">
        <v>5.5E-2</v>
      </c>
    </row>
    <row r="1040" spans="1:16" ht="14" customHeight="1" x14ac:dyDescent="0.25">
      <c r="A1040" s="156"/>
      <c r="B1040" s="11">
        <v>7</v>
      </c>
      <c r="C1040" s="15" t="s">
        <v>228</v>
      </c>
      <c r="D1040" s="15">
        <v>0.5</v>
      </c>
      <c r="E1040" s="15">
        <v>0.1</v>
      </c>
      <c r="F1040" s="17">
        <v>5.88</v>
      </c>
      <c r="G1040" s="17">
        <v>2.3E-2</v>
      </c>
      <c r="H1040" s="17">
        <v>8.9999999999999993E-3</v>
      </c>
      <c r="I1040" s="15"/>
      <c r="J1040" s="15">
        <v>7</v>
      </c>
      <c r="K1040" s="15" t="s">
        <v>228</v>
      </c>
      <c r="L1040" s="18">
        <v>1.3</v>
      </c>
      <c r="M1040" s="18">
        <v>0.1</v>
      </c>
      <c r="N1040" s="24">
        <v>9.1389999999999993</v>
      </c>
      <c r="O1040" s="24">
        <v>2.7E-2</v>
      </c>
      <c r="P1040" s="24">
        <v>6.0000000000000001E-3</v>
      </c>
    </row>
    <row r="1041" spans="1:16" ht="14" customHeight="1" x14ac:dyDescent="0.25">
      <c r="A1041" s="156"/>
      <c r="B1041" s="11">
        <v>8</v>
      </c>
      <c r="C1041" s="15" t="s">
        <v>23</v>
      </c>
      <c r="D1041" s="15">
        <v>0.5</v>
      </c>
      <c r="E1041" s="15">
        <v>0.4</v>
      </c>
      <c r="F1041" s="17">
        <v>0.41799999999999998</v>
      </c>
      <c r="G1041" s="17">
        <v>2.3E-2</v>
      </c>
      <c r="H1041" s="17">
        <v>4.1000000000000002E-2</v>
      </c>
      <c r="I1041" s="15"/>
      <c r="J1041" s="15">
        <v>8</v>
      </c>
      <c r="K1041" s="15" t="s">
        <v>23</v>
      </c>
      <c r="L1041" s="18">
        <v>1</v>
      </c>
      <c r="M1041" s="18">
        <v>1.2</v>
      </c>
      <c r="N1041" s="24">
        <v>-0.13200000000000001</v>
      </c>
      <c r="O1041" s="24">
        <v>2.1000000000000001E-2</v>
      </c>
      <c r="P1041" s="24">
        <v>5.6000000000000001E-2</v>
      </c>
    </row>
    <row r="1042" spans="1:16" ht="14" customHeight="1" x14ac:dyDescent="0.25">
      <c r="A1042" s="156"/>
      <c r="B1042" s="11">
        <v>9</v>
      </c>
      <c r="C1042" s="15" t="s">
        <v>101</v>
      </c>
      <c r="D1042" s="15">
        <v>0.4</v>
      </c>
      <c r="E1042" s="15">
        <v>0.1</v>
      </c>
      <c r="F1042" s="17">
        <v>6.4050000000000002</v>
      </c>
      <c r="G1042" s="17">
        <v>1.7999999999999999E-2</v>
      </c>
      <c r="H1042" s="17">
        <v>6.0000000000000001E-3</v>
      </c>
      <c r="I1042" s="15"/>
      <c r="J1042" s="15">
        <v>9</v>
      </c>
      <c r="K1042" s="15" t="s">
        <v>101</v>
      </c>
      <c r="L1042" s="18">
        <v>0.9</v>
      </c>
      <c r="M1042" s="18">
        <v>0.3</v>
      </c>
      <c r="N1042" s="24">
        <v>2.59</v>
      </c>
      <c r="O1042" s="24">
        <v>1.9E-2</v>
      </c>
      <c r="P1042" s="24">
        <v>1.2E-2</v>
      </c>
    </row>
    <row r="1043" spans="1:16" ht="14" customHeight="1" x14ac:dyDescent="0.25">
      <c r="A1043" s="156"/>
      <c r="B1043" s="15">
        <v>10</v>
      </c>
      <c r="C1043" s="15" t="s">
        <v>28</v>
      </c>
      <c r="D1043" s="15">
        <v>0.2</v>
      </c>
      <c r="E1043" s="15">
        <v>0.2</v>
      </c>
      <c r="F1043" s="17">
        <v>0.48499999999999999</v>
      </c>
      <c r="G1043" s="17">
        <v>1.0999999999999999E-2</v>
      </c>
      <c r="H1043" s="17">
        <v>1.9E-2</v>
      </c>
      <c r="I1043" s="15"/>
      <c r="J1043" s="15">
        <v>10</v>
      </c>
      <c r="K1043" s="15" t="s">
        <v>28</v>
      </c>
      <c r="L1043" s="18">
        <v>0.6</v>
      </c>
      <c r="M1043" s="18">
        <v>0.5</v>
      </c>
      <c r="N1043" s="24">
        <v>0.20699999999999999</v>
      </c>
      <c r="O1043" s="24">
        <v>1.2999999999999999E-2</v>
      </c>
      <c r="P1043" s="24">
        <v>2.4E-2</v>
      </c>
    </row>
    <row r="1044" spans="1:16" ht="14" customHeight="1" x14ac:dyDescent="0.25">
      <c r="A1044" s="156"/>
      <c r="B1044" s="15"/>
      <c r="C1044" s="15" t="s">
        <v>207</v>
      </c>
      <c r="D1044" s="15">
        <v>1.3</v>
      </c>
      <c r="E1044" s="15">
        <v>0.4</v>
      </c>
      <c r="F1044" s="17">
        <v>2.6280000000000001</v>
      </c>
      <c r="G1044" s="17">
        <v>5.8000000000000003E-2</v>
      </c>
      <c r="H1044" s="17">
        <v>4.1000000000000002E-2</v>
      </c>
      <c r="I1044" s="15"/>
      <c r="J1044" s="15"/>
      <c r="K1044" s="15" t="s">
        <v>105</v>
      </c>
      <c r="L1044" s="18">
        <v>2.9</v>
      </c>
      <c r="M1044" s="18">
        <v>1</v>
      </c>
      <c r="N1044" s="24">
        <v>1.9890000000000001</v>
      </c>
      <c r="O1044" s="24">
        <v>0.06</v>
      </c>
      <c r="P1044" s="24">
        <v>4.5999999999999999E-2</v>
      </c>
    </row>
    <row r="1045" spans="1:16" ht="14" customHeight="1" x14ac:dyDescent="0.25">
      <c r="A1045" s="156"/>
      <c r="B1045" s="15"/>
      <c r="C1045" s="15" t="s">
        <v>130</v>
      </c>
      <c r="D1045" s="15">
        <v>22.1</v>
      </c>
      <c r="E1045" s="15">
        <v>8.6</v>
      </c>
      <c r="F1045" s="17">
        <v>1.5780000000000001</v>
      </c>
      <c r="G1045" s="17">
        <v>1</v>
      </c>
      <c r="H1045" s="17">
        <v>1</v>
      </c>
      <c r="I1045" s="15"/>
      <c r="J1045" s="26"/>
      <c r="K1045" s="15" t="s">
        <v>130</v>
      </c>
      <c r="L1045" s="18">
        <v>47.8</v>
      </c>
      <c r="M1045" s="18">
        <v>21</v>
      </c>
      <c r="N1045" s="17">
        <v>1.27</v>
      </c>
      <c r="O1045" s="17">
        <v>1</v>
      </c>
      <c r="P1045" s="17">
        <v>1</v>
      </c>
    </row>
    <row r="1047" spans="1:16" ht="14" customHeight="1" x14ac:dyDescent="0.25">
      <c r="A1047" s="156"/>
      <c r="B1047" s="11" t="s">
        <v>314</v>
      </c>
      <c r="C1047" s="11"/>
      <c r="D1047" s="11"/>
      <c r="E1047" s="11"/>
      <c r="F1047" s="11"/>
      <c r="G1047" s="11"/>
      <c r="H1047" s="11"/>
      <c r="I1047" s="15"/>
      <c r="J1047" s="15" t="s">
        <v>315</v>
      </c>
      <c r="K1047" s="15"/>
      <c r="L1047" s="15"/>
      <c r="M1047" s="15"/>
      <c r="N1047" s="15"/>
      <c r="O1047" s="15"/>
      <c r="P1047" s="15"/>
    </row>
    <row r="1048" spans="1:16" ht="14" customHeight="1" x14ac:dyDescent="0.25">
      <c r="A1048" s="156"/>
      <c r="B1048" s="11" t="s">
        <v>96</v>
      </c>
      <c r="C1048" s="15" t="s">
        <v>123</v>
      </c>
      <c r="D1048" s="19">
        <v>44228</v>
      </c>
      <c r="E1048" s="19">
        <v>43862</v>
      </c>
      <c r="F1048" s="26" t="s">
        <v>34</v>
      </c>
      <c r="G1048" s="26" t="s">
        <v>217</v>
      </c>
      <c r="H1048" s="26" t="s">
        <v>268</v>
      </c>
      <c r="I1048" s="15"/>
      <c r="J1048" s="15" t="s">
        <v>256</v>
      </c>
      <c r="K1048" s="15" t="s">
        <v>123</v>
      </c>
      <c r="L1048" s="27" t="s">
        <v>316</v>
      </c>
      <c r="M1048" s="27" t="s">
        <v>317</v>
      </c>
      <c r="N1048" s="26" t="s">
        <v>34</v>
      </c>
      <c r="O1048" s="26" t="s">
        <v>217</v>
      </c>
      <c r="P1048" s="26" t="s">
        <v>268</v>
      </c>
    </row>
    <row r="1049" spans="1:16" ht="14" customHeight="1" x14ac:dyDescent="0.25">
      <c r="A1049" s="156"/>
      <c r="B1049" s="11">
        <v>1</v>
      </c>
      <c r="C1049" s="15" t="s">
        <v>98</v>
      </c>
      <c r="D1049" s="15">
        <v>3.1</v>
      </c>
      <c r="E1049" s="15">
        <v>0.5</v>
      </c>
      <c r="F1049" s="24">
        <v>4.7229999999999999</v>
      </c>
      <c r="G1049" s="24">
        <v>0.27800000000000002</v>
      </c>
      <c r="H1049" s="24">
        <v>0.10100000000000001</v>
      </c>
      <c r="I1049" s="15"/>
      <c r="J1049" s="15">
        <v>1</v>
      </c>
      <c r="K1049" s="15" t="s">
        <v>98</v>
      </c>
      <c r="L1049" s="18">
        <v>8</v>
      </c>
      <c r="M1049" s="18">
        <v>2.1</v>
      </c>
      <c r="N1049" s="24">
        <v>2.7210000000000001</v>
      </c>
      <c r="O1049" s="24">
        <v>0.317</v>
      </c>
      <c r="P1049" s="24">
        <v>0.17299999999999999</v>
      </c>
    </row>
    <row r="1050" spans="1:16" ht="14" customHeight="1" x14ac:dyDescent="0.25">
      <c r="A1050" s="156"/>
      <c r="B1050" s="11">
        <v>2</v>
      </c>
      <c r="C1050" s="15" t="s">
        <v>227</v>
      </c>
      <c r="D1050" s="15">
        <v>2.6</v>
      </c>
      <c r="E1050" s="15">
        <v>1.6</v>
      </c>
      <c r="F1050" s="24">
        <v>0.621</v>
      </c>
      <c r="G1050" s="24">
        <v>0.23400000000000001</v>
      </c>
      <c r="H1050" s="24">
        <v>0.30199999999999999</v>
      </c>
      <c r="I1050" s="15"/>
      <c r="J1050" s="15">
        <v>2</v>
      </c>
      <c r="K1050" s="15" t="s">
        <v>227</v>
      </c>
      <c r="L1050" s="18">
        <v>4.8</v>
      </c>
      <c r="M1050" s="18">
        <v>3.3</v>
      </c>
      <c r="N1050" s="24">
        <v>0.45800000000000002</v>
      </c>
      <c r="O1050" s="24">
        <v>0.192</v>
      </c>
      <c r="P1050" s="24">
        <v>0.26600000000000001</v>
      </c>
    </row>
    <row r="1051" spans="1:16" ht="14" customHeight="1" x14ac:dyDescent="0.25">
      <c r="A1051" s="156"/>
      <c r="B1051" s="11">
        <v>3</v>
      </c>
      <c r="C1051" s="15" t="s">
        <v>102</v>
      </c>
      <c r="D1051" s="15">
        <v>2.2000000000000002</v>
      </c>
      <c r="E1051" s="15">
        <v>1.4</v>
      </c>
      <c r="F1051" s="24">
        <v>0.55800000000000005</v>
      </c>
      <c r="G1051" s="24">
        <v>0.19400000000000001</v>
      </c>
      <c r="H1051" s="24">
        <v>0.26</v>
      </c>
      <c r="I1051" s="15"/>
      <c r="J1051" s="15">
        <v>3</v>
      </c>
      <c r="K1051" s="15" t="s">
        <v>102</v>
      </c>
      <c r="L1051" s="18">
        <v>4.3</v>
      </c>
      <c r="M1051" s="18">
        <v>2.8</v>
      </c>
      <c r="N1051" s="24">
        <v>0.54400000000000004</v>
      </c>
      <c r="O1051" s="24">
        <v>0.17199999999999999</v>
      </c>
      <c r="P1051" s="24">
        <v>0.22500000000000001</v>
      </c>
    </row>
    <row r="1052" spans="1:16" ht="14" customHeight="1" x14ac:dyDescent="0.25">
      <c r="A1052" s="156"/>
      <c r="B1052" s="11">
        <v>4</v>
      </c>
      <c r="C1052" s="15" t="s">
        <v>24</v>
      </c>
      <c r="D1052" s="15">
        <v>0.7</v>
      </c>
      <c r="E1052" s="15">
        <v>0.4</v>
      </c>
      <c r="F1052" s="24">
        <v>0.66200000000000003</v>
      </c>
      <c r="G1052" s="24">
        <v>6.3E-2</v>
      </c>
      <c r="H1052" s="24">
        <v>7.9000000000000001E-2</v>
      </c>
      <c r="I1052" s="15"/>
      <c r="J1052" s="15">
        <v>4</v>
      </c>
      <c r="K1052" s="15" t="s">
        <v>45</v>
      </c>
      <c r="L1052" s="18">
        <v>1.8</v>
      </c>
      <c r="M1052" s="18">
        <v>0.4</v>
      </c>
      <c r="N1052" s="24">
        <v>4.0179999999999998</v>
      </c>
      <c r="O1052" s="24">
        <v>7.0000000000000007E-2</v>
      </c>
      <c r="P1052" s="24">
        <v>2.8000000000000001E-2</v>
      </c>
    </row>
    <row r="1053" spans="1:16" ht="14" customHeight="1" x14ac:dyDescent="0.25">
      <c r="A1053" s="156"/>
      <c r="B1053" s="11">
        <v>5</v>
      </c>
      <c r="C1053" s="11" t="s">
        <v>115</v>
      </c>
      <c r="D1053" s="15">
        <v>0.6</v>
      </c>
      <c r="E1053" s="15">
        <v>0.5</v>
      </c>
      <c r="F1053" s="24">
        <v>0.23400000000000001</v>
      </c>
      <c r="G1053" s="24">
        <v>5.7000000000000002E-2</v>
      </c>
      <c r="H1053" s="24">
        <v>9.6000000000000002E-2</v>
      </c>
      <c r="I1053" s="15"/>
      <c r="J1053" s="15">
        <v>5</v>
      </c>
      <c r="K1053" s="15" t="s">
        <v>173</v>
      </c>
      <c r="L1053" s="18">
        <v>1.3</v>
      </c>
      <c r="M1053" s="18">
        <v>1.1000000000000001</v>
      </c>
      <c r="N1053" s="24">
        <v>0.23799999999999999</v>
      </c>
      <c r="O1053" s="24">
        <v>5.2999999999999999E-2</v>
      </c>
      <c r="P1053" s="24">
        <v>8.5999999999999993E-2</v>
      </c>
    </row>
    <row r="1054" spans="1:16" ht="14" customHeight="1" x14ac:dyDescent="0.25">
      <c r="A1054" s="156"/>
      <c r="B1054" s="11">
        <v>6</v>
      </c>
      <c r="C1054" s="11" t="s">
        <v>45</v>
      </c>
      <c r="D1054" s="15">
        <v>0.6</v>
      </c>
      <c r="E1054" s="15">
        <v>0.1</v>
      </c>
      <c r="F1054" s="24">
        <v>4.8369999999999997</v>
      </c>
      <c r="G1054" s="24">
        <v>5.0999999999999997E-2</v>
      </c>
      <c r="H1054" s="24">
        <v>1.7999999999999999E-2</v>
      </c>
      <c r="I1054" s="15"/>
      <c r="J1054" s="15">
        <v>6</v>
      </c>
      <c r="K1054" s="11" t="s">
        <v>24</v>
      </c>
      <c r="L1054" s="18">
        <v>1.3</v>
      </c>
      <c r="M1054" s="18">
        <v>0.7</v>
      </c>
      <c r="N1054" s="24">
        <v>0.69</v>
      </c>
      <c r="O1054" s="24">
        <v>0.05</v>
      </c>
      <c r="P1054" s="24">
        <v>0.06</v>
      </c>
    </row>
    <row r="1055" spans="1:16" ht="14" customHeight="1" x14ac:dyDescent="0.25">
      <c r="A1055" s="156"/>
      <c r="B1055" s="11">
        <v>7</v>
      </c>
      <c r="C1055" s="15" t="s">
        <v>228</v>
      </c>
      <c r="D1055" s="15">
        <v>0.3</v>
      </c>
      <c r="E1055" s="15">
        <v>0</v>
      </c>
      <c r="F1055" s="24" t="s">
        <v>31</v>
      </c>
      <c r="G1055" s="24">
        <v>2.5000000000000001E-2</v>
      </c>
      <c r="H1055" s="24">
        <v>1E-3</v>
      </c>
      <c r="I1055" s="15"/>
      <c r="J1055" s="15">
        <v>7</v>
      </c>
      <c r="K1055" s="15" t="s">
        <v>228</v>
      </c>
      <c r="L1055" s="18">
        <v>0.8</v>
      </c>
      <c r="M1055" s="18">
        <v>0.1</v>
      </c>
      <c r="N1055" s="24">
        <v>13.84</v>
      </c>
      <c r="O1055" s="24">
        <v>0.03</v>
      </c>
      <c r="P1055" s="24">
        <v>4.0000000000000001E-3</v>
      </c>
    </row>
    <row r="1056" spans="1:16" ht="14" customHeight="1" x14ac:dyDescent="0.25">
      <c r="A1056" s="156"/>
      <c r="B1056" s="11">
        <v>8</v>
      </c>
      <c r="C1056" s="15" t="s">
        <v>23</v>
      </c>
      <c r="D1056" s="15">
        <v>0.3</v>
      </c>
      <c r="E1056" s="15">
        <v>0.5</v>
      </c>
      <c r="F1056" s="24">
        <v>-0.45500000000000002</v>
      </c>
      <c r="G1056" s="24">
        <v>2.1999999999999999E-2</v>
      </c>
      <c r="H1056" s="24">
        <v>8.5000000000000006E-2</v>
      </c>
      <c r="I1056" s="15"/>
      <c r="J1056" s="15">
        <v>8</v>
      </c>
      <c r="K1056" s="15" t="s">
        <v>23</v>
      </c>
      <c r="L1056" s="18">
        <v>0.5</v>
      </c>
      <c r="M1056" s="18">
        <v>0.8</v>
      </c>
      <c r="N1056" s="24">
        <v>-0.38200000000000001</v>
      </c>
      <c r="O1056" s="24">
        <v>0.02</v>
      </c>
      <c r="P1056" s="24">
        <v>6.6000000000000003E-2</v>
      </c>
    </row>
    <row r="1057" spans="1:16" ht="14" customHeight="1" x14ac:dyDescent="0.25">
      <c r="A1057" s="156"/>
      <c r="B1057" s="11">
        <v>9</v>
      </c>
      <c r="C1057" s="15" t="s">
        <v>101</v>
      </c>
      <c r="D1057" s="15">
        <v>0.2</v>
      </c>
      <c r="E1057" s="15">
        <v>0</v>
      </c>
      <c r="F1057" s="24">
        <v>14.119</v>
      </c>
      <c r="G1057" s="24">
        <v>1.4999999999999999E-2</v>
      </c>
      <c r="H1057" s="24">
        <v>2E-3</v>
      </c>
      <c r="I1057" s="15"/>
      <c r="J1057" s="15">
        <v>9</v>
      </c>
      <c r="K1057" s="15" t="s">
        <v>101</v>
      </c>
      <c r="L1057" s="18">
        <v>0.5</v>
      </c>
      <c r="M1057" s="18">
        <v>0.2</v>
      </c>
      <c r="N1057" s="24">
        <v>1.532</v>
      </c>
      <c r="O1057" s="24">
        <v>0.02</v>
      </c>
      <c r="P1057" s="24">
        <v>1.6E-2</v>
      </c>
    </row>
    <row r="1058" spans="1:16" ht="14" customHeight="1" x14ac:dyDescent="0.25">
      <c r="A1058" s="156"/>
      <c r="B1058" s="15">
        <v>10</v>
      </c>
      <c r="C1058" s="15" t="s">
        <v>28</v>
      </c>
      <c r="D1058" s="15">
        <v>0.2</v>
      </c>
      <c r="E1058" s="15">
        <v>0.2</v>
      </c>
      <c r="F1058" s="24">
        <v>3.1E-2</v>
      </c>
      <c r="G1058" s="24">
        <v>1.4E-2</v>
      </c>
      <c r="H1058" s="24">
        <v>2.9000000000000001E-2</v>
      </c>
      <c r="I1058" s="15"/>
      <c r="J1058" s="15">
        <v>10</v>
      </c>
      <c r="K1058" s="15" t="s">
        <v>28</v>
      </c>
      <c r="L1058" s="18">
        <v>0.3</v>
      </c>
      <c r="M1058" s="18">
        <v>0.3</v>
      </c>
      <c r="N1058" s="24">
        <v>3.5000000000000003E-2</v>
      </c>
      <c r="O1058" s="24">
        <v>1.4E-2</v>
      </c>
      <c r="P1058" s="24">
        <v>2.7E-2</v>
      </c>
    </row>
    <row r="1059" spans="1:16" ht="14" customHeight="1" x14ac:dyDescent="0.25">
      <c r="A1059" s="156"/>
      <c r="B1059" s="15"/>
      <c r="C1059" s="15" t="s">
        <v>207</v>
      </c>
      <c r="D1059" s="15">
        <v>0.5</v>
      </c>
      <c r="E1059" s="15">
        <v>0.1</v>
      </c>
      <c r="F1059" s="24">
        <v>2.7149999999999999</v>
      </c>
      <c r="G1059" s="24">
        <v>4.7E-2</v>
      </c>
      <c r="H1059" s="24">
        <v>2.5999999999999999E-2</v>
      </c>
      <c r="I1059" s="15"/>
      <c r="J1059" s="15"/>
      <c r="K1059" s="15" t="s">
        <v>105</v>
      </c>
      <c r="L1059" s="18">
        <v>1.6</v>
      </c>
      <c r="M1059" s="18">
        <v>0.6</v>
      </c>
      <c r="N1059" s="24">
        <v>1.5549999999999999</v>
      </c>
      <c r="O1059" s="24">
        <v>6.2E-2</v>
      </c>
      <c r="P1059" s="24">
        <v>4.9000000000000002E-2</v>
      </c>
    </row>
    <row r="1060" spans="1:16" ht="14" customHeight="1" x14ac:dyDescent="0.25">
      <c r="A1060" s="156"/>
      <c r="B1060" s="15"/>
      <c r="C1060" s="15" t="s">
        <v>130</v>
      </c>
      <c r="D1060" s="15">
        <v>11.2</v>
      </c>
      <c r="E1060" s="15">
        <v>5.4</v>
      </c>
      <c r="F1060" s="17">
        <v>1.0880000000000001</v>
      </c>
      <c r="G1060" s="17">
        <v>1</v>
      </c>
      <c r="H1060" s="17">
        <v>1</v>
      </c>
      <c r="I1060" s="15"/>
      <c r="J1060" s="26"/>
      <c r="K1060" s="15" t="s">
        <v>130</v>
      </c>
      <c r="L1060" s="18">
        <v>25.2</v>
      </c>
      <c r="M1060" s="18">
        <v>12.5</v>
      </c>
      <c r="N1060" s="17">
        <v>1.024</v>
      </c>
      <c r="O1060" s="17">
        <v>1</v>
      </c>
      <c r="P1060" s="17">
        <v>1</v>
      </c>
    </row>
    <row r="1062" spans="1:16" ht="14" customHeight="1" x14ac:dyDescent="0.25">
      <c r="A1062" s="156"/>
      <c r="B1062" s="11" t="s">
        <v>318</v>
      </c>
      <c r="C1062" s="11"/>
      <c r="D1062" s="11"/>
      <c r="E1062" s="11"/>
      <c r="F1062" s="11"/>
      <c r="G1062" s="11"/>
      <c r="H1062" s="11"/>
      <c r="I1062" s="15"/>
      <c r="J1062" s="15"/>
      <c r="K1062" s="15"/>
      <c r="L1062" s="15"/>
      <c r="M1062" s="15"/>
      <c r="N1062" s="15"/>
      <c r="O1062" s="15"/>
      <c r="P1062" s="15"/>
    </row>
    <row r="1063" spans="1:16" ht="14" customHeight="1" x14ac:dyDescent="0.25">
      <c r="A1063" s="156"/>
      <c r="B1063" s="11" t="s">
        <v>96</v>
      </c>
      <c r="C1063" s="15" t="s">
        <v>123</v>
      </c>
      <c r="D1063" s="19">
        <v>44197</v>
      </c>
      <c r="E1063" s="19">
        <v>43831</v>
      </c>
      <c r="F1063" s="26" t="s">
        <v>34</v>
      </c>
      <c r="G1063" s="15" t="s">
        <v>217</v>
      </c>
      <c r="H1063" s="15" t="s">
        <v>268</v>
      </c>
      <c r="I1063" s="15"/>
      <c r="J1063" s="15"/>
      <c r="K1063" s="15"/>
      <c r="L1063" s="15"/>
      <c r="M1063" s="15"/>
      <c r="N1063" s="15"/>
      <c r="O1063" s="15"/>
      <c r="P1063" s="15"/>
    </row>
    <row r="1064" spans="1:16" ht="14" customHeight="1" x14ac:dyDescent="0.25">
      <c r="A1064" s="156"/>
      <c r="B1064" s="11">
        <v>1</v>
      </c>
      <c r="C1064" s="15" t="s">
        <v>98</v>
      </c>
      <c r="D1064" s="15">
        <v>4.3</v>
      </c>
      <c r="E1064" s="15">
        <v>1.6</v>
      </c>
      <c r="F1064" s="17">
        <v>1.6619999999999999</v>
      </c>
      <c r="G1064" s="17">
        <v>0.312</v>
      </c>
      <c r="H1064" s="17">
        <v>0.22800000000000001</v>
      </c>
      <c r="I1064" s="15"/>
      <c r="J1064" s="15"/>
      <c r="K1064" s="15"/>
      <c r="L1064" s="15"/>
      <c r="M1064" s="15"/>
      <c r="N1064" s="15"/>
      <c r="O1064" s="15"/>
      <c r="P1064" s="15"/>
    </row>
    <row r="1065" spans="1:16" ht="14" customHeight="1" x14ac:dyDescent="0.25">
      <c r="A1065" s="156"/>
      <c r="B1065" s="11">
        <v>2</v>
      </c>
      <c r="C1065" s="15" t="s">
        <v>227</v>
      </c>
      <c r="D1065" s="15">
        <v>2.5</v>
      </c>
      <c r="E1065" s="15">
        <v>1.7</v>
      </c>
      <c r="F1065" s="17">
        <v>0.50600000000000001</v>
      </c>
      <c r="G1065" s="17">
        <v>0.185</v>
      </c>
      <c r="H1065" s="17">
        <v>0.23899999999999999</v>
      </c>
      <c r="I1065" s="15"/>
      <c r="J1065" s="15"/>
      <c r="K1065" s="15"/>
      <c r="L1065" s="15"/>
      <c r="M1065" s="15"/>
      <c r="N1065" s="15"/>
      <c r="O1065" s="15"/>
      <c r="P1065" s="15"/>
    </row>
    <row r="1066" spans="1:16" ht="14" customHeight="1" x14ac:dyDescent="0.25">
      <c r="A1066" s="156"/>
      <c r="B1066" s="11">
        <v>3</v>
      </c>
      <c r="C1066" s="15" t="s">
        <v>102</v>
      </c>
      <c r="D1066" s="15">
        <v>2.1</v>
      </c>
      <c r="E1066" s="15">
        <v>1.4</v>
      </c>
      <c r="F1066" s="17">
        <v>0.51900000000000002</v>
      </c>
      <c r="G1066" s="17">
        <v>0.156</v>
      </c>
      <c r="H1066" s="17">
        <v>0.19900000000000001</v>
      </c>
      <c r="I1066" s="15"/>
      <c r="J1066" s="15"/>
      <c r="K1066" s="15"/>
      <c r="L1066" s="15"/>
      <c r="M1066" s="15"/>
      <c r="N1066" s="15"/>
      <c r="O1066" s="15"/>
      <c r="P1066" s="15"/>
    </row>
    <row r="1067" spans="1:16" ht="14" customHeight="1" x14ac:dyDescent="0.25">
      <c r="A1067" s="156"/>
      <c r="B1067" s="11">
        <v>4</v>
      </c>
      <c r="C1067" s="15" t="s">
        <v>45</v>
      </c>
      <c r="D1067" s="15">
        <v>1.2</v>
      </c>
      <c r="E1067" s="15">
        <v>0.3</v>
      </c>
      <c r="F1067" s="17">
        <v>3.819</v>
      </c>
      <c r="G1067" s="17">
        <v>8.8999999999999996E-2</v>
      </c>
      <c r="H1067" s="17">
        <v>3.5999999999999997E-2</v>
      </c>
      <c r="I1067" s="15"/>
      <c r="J1067" s="15"/>
      <c r="K1067" s="15"/>
      <c r="L1067" s="15"/>
      <c r="M1067" s="15"/>
      <c r="N1067" s="15"/>
      <c r="O1067" s="15"/>
      <c r="P1067" s="15"/>
    </row>
    <row r="1068" spans="1:16" ht="14" customHeight="1" x14ac:dyDescent="0.25">
      <c r="A1068" s="156"/>
      <c r="B1068" s="11">
        <v>5</v>
      </c>
      <c r="C1068" s="11" t="s">
        <v>115</v>
      </c>
      <c r="D1068" s="15">
        <v>0.7</v>
      </c>
      <c r="E1068" s="15">
        <v>0.5</v>
      </c>
      <c r="F1068" s="17">
        <v>0.186</v>
      </c>
      <c r="G1068" s="17">
        <v>4.8000000000000001E-2</v>
      </c>
      <c r="H1068" s="17">
        <v>7.8E-2</v>
      </c>
      <c r="I1068" s="15"/>
      <c r="J1068" s="15"/>
      <c r="K1068" s="15"/>
      <c r="L1068" s="15"/>
      <c r="M1068" s="15"/>
      <c r="N1068" s="15"/>
      <c r="O1068" s="15"/>
      <c r="P1068" s="15"/>
    </row>
    <row r="1069" spans="1:16" ht="14" customHeight="1" x14ac:dyDescent="0.25">
      <c r="A1069" s="156"/>
      <c r="B1069" s="11">
        <v>6</v>
      </c>
      <c r="C1069" s="15" t="s">
        <v>228</v>
      </c>
      <c r="D1069" s="15">
        <v>0.6</v>
      </c>
      <c r="E1069" s="15">
        <v>0</v>
      </c>
      <c r="F1069" s="17">
        <v>10.871</v>
      </c>
      <c r="G1069" s="17">
        <v>4.1000000000000002E-2</v>
      </c>
      <c r="H1069" s="17">
        <v>7.0000000000000001E-3</v>
      </c>
      <c r="I1069" s="15"/>
      <c r="J1069" s="15"/>
      <c r="K1069" s="15"/>
      <c r="L1069" s="15"/>
      <c r="M1069" s="15"/>
      <c r="N1069" s="15"/>
      <c r="O1069" s="15"/>
      <c r="P1069" s="15"/>
    </row>
    <row r="1070" spans="1:16" ht="14" customHeight="1" x14ac:dyDescent="0.25">
      <c r="A1070" s="156"/>
      <c r="B1070" s="11">
        <v>7</v>
      </c>
      <c r="C1070" s="15" t="s">
        <v>24</v>
      </c>
      <c r="D1070" s="15">
        <v>0.5</v>
      </c>
      <c r="E1070" s="15">
        <v>0.3</v>
      </c>
      <c r="F1070" s="17">
        <v>0.68500000000000005</v>
      </c>
      <c r="G1070" s="17">
        <v>3.9E-2</v>
      </c>
      <c r="H1070" s="17">
        <v>4.4999999999999998E-2</v>
      </c>
      <c r="I1070" s="15"/>
      <c r="J1070" s="15"/>
      <c r="K1070" s="15"/>
      <c r="L1070" s="15"/>
      <c r="M1070" s="15"/>
      <c r="N1070" s="15"/>
      <c r="O1070" s="15"/>
      <c r="P1070" s="15"/>
    </row>
    <row r="1071" spans="1:16" ht="14" customHeight="1" x14ac:dyDescent="0.25">
      <c r="A1071" s="156"/>
      <c r="B1071" s="11">
        <v>8</v>
      </c>
      <c r="C1071" s="15" t="s">
        <v>101</v>
      </c>
      <c r="D1071" s="15">
        <v>0.3</v>
      </c>
      <c r="E1071" s="15">
        <v>0.2</v>
      </c>
      <c r="F1071" s="17">
        <v>0.68400000000000005</v>
      </c>
      <c r="G1071" s="17">
        <v>2.3E-2</v>
      </c>
      <c r="H1071" s="17">
        <v>2.7E-2</v>
      </c>
      <c r="I1071" s="15"/>
      <c r="J1071" s="15"/>
      <c r="K1071" s="15"/>
      <c r="L1071" s="15"/>
      <c r="M1071" s="15"/>
      <c r="N1071" s="15"/>
      <c r="O1071" s="15"/>
      <c r="P1071" s="15"/>
    </row>
    <row r="1072" spans="1:16" ht="14" customHeight="1" x14ac:dyDescent="0.25">
      <c r="A1072" s="156"/>
      <c r="B1072" s="11">
        <v>9</v>
      </c>
      <c r="C1072" s="15" t="s">
        <v>23</v>
      </c>
      <c r="D1072" s="15">
        <v>0.2</v>
      </c>
      <c r="E1072" s="15">
        <v>0.4</v>
      </c>
      <c r="F1072" s="17">
        <v>-0.30499999999999999</v>
      </c>
      <c r="G1072" s="17">
        <v>1.7999999999999999E-2</v>
      </c>
      <c r="H1072" s="17">
        <v>5.0999999999999997E-2</v>
      </c>
      <c r="I1072" s="15"/>
      <c r="J1072" s="15"/>
      <c r="K1072" s="15"/>
      <c r="L1072" s="15"/>
      <c r="M1072" s="15"/>
      <c r="N1072" s="15"/>
      <c r="O1072" s="15"/>
      <c r="P1072" s="15"/>
    </row>
    <row r="1073" spans="1:16" ht="14" customHeight="1" x14ac:dyDescent="0.25">
      <c r="A1073" s="156"/>
      <c r="B1073" s="15">
        <v>10</v>
      </c>
      <c r="C1073" s="15" t="s">
        <v>28</v>
      </c>
      <c r="D1073" s="15">
        <v>0.2</v>
      </c>
      <c r="E1073" s="15">
        <v>0.2</v>
      </c>
      <c r="F1073" s="17">
        <v>3.7999999999999999E-2</v>
      </c>
      <c r="G1073" s="17">
        <v>1.4E-2</v>
      </c>
      <c r="H1073" s="17">
        <v>2.5999999999999999E-2</v>
      </c>
      <c r="I1073" s="15"/>
      <c r="J1073" s="15"/>
      <c r="K1073" s="15"/>
      <c r="L1073" s="15"/>
      <c r="M1073" s="15"/>
      <c r="N1073" s="15"/>
      <c r="O1073" s="15"/>
      <c r="P1073" s="15"/>
    </row>
    <row r="1074" spans="1:16" ht="14" customHeight="1" x14ac:dyDescent="0.25">
      <c r="A1074" s="156"/>
      <c r="B1074" s="15"/>
      <c r="C1074" s="15" t="s">
        <v>207</v>
      </c>
      <c r="D1074" s="15">
        <v>1</v>
      </c>
      <c r="E1074" s="15">
        <v>0.5</v>
      </c>
      <c r="F1074" s="17">
        <v>1.1990000000000001</v>
      </c>
      <c r="G1074" s="17">
        <v>7.4999999999999997E-2</v>
      </c>
      <c r="H1074" s="17">
        <v>6.6000000000000003E-2</v>
      </c>
      <c r="I1074" s="15"/>
      <c r="J1074" s="15"/>
      <c r="K1074" s="15"/>
      <c r="L1074" s="15"/>
      <c r="M1074" s="15"/>
      <c r="N1074" s="15"/>
      <c r="O1074" s="15"/>
      <c r="P1074" s="15"/>
    </row>
    <row r="1075" spans="1:16" ht="14" customHeight="1" x14ac:dyDescent="0.25">
      <c r="A1075" s="156"/>
      <c r="B1075" s="15"/>
      <c r="C1075" s="15" t="s">
        <v>130</v>
      </c>
      <c r="D1075" s="15">
        <v>13.7</v>
      </c>
      <c r="E1075" s="15">
        <v>7</v>
      </c>
      <c r="F1075" s="17">
        <v>0.94</v>
      </c>
      <c r="G1075" s="17">
        <v>1</v>
      </c>
      <c r="H1075" s="17">
        <v>1</v>
      </c>
      <c r="I1075" s="15"/>
      <c r="J1075" s="26"/>
      <c r="K1075" s="15"/>
      <c r="L1075" s="15"/>
      <c r="M1075" s="15"/>
      <c r="N1075" s="15"/>
      <c r="O1075" s="15"/>
      <c r="P1075" s="15"/>
    </row>
    <row r="1076" spans="1:16" ht="14" customHeight="1" x14ac:dyDescent="0.25">
      <c r="A1076" s="156"/>
      <c r="B1076" s="11"/>
      <c r="C1076" s="15"/>
      <c r="D1076" s="15"/>
      <c r="E1076" s="15"/>
      <c r="F1076" s="15"/>
      <c r="G1076" s="15"/>
      <c r="H1076" s="15"/>
      <c r="I1076" s="15"/>
      <c r="J1076" s="17"/>
      <c r="K1076" s="15"/>
      <c r="L1076" s="15"/>
      <c r="M1076" s="15"/>
      <c r="N1076" s="15"/>
      <c r="O1076" s="15"/>
      <c r="P1076" s="15"/>
    </row>
  </sheetData>
  <sortState xmlns:xlrd2="http://schemas.microsoft.com/office/spreadsheetml/2017/richdata2" ref="B3:F11">
    <sortCondition descending="1" ref="F3:F11"/>
  </sortState>
  <phoneticPr fontId="1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623"/>
  <sheetViews>
    <sheetView topLeftCell="A34" workbookViewId="0">
      <selection activeCell="H10" sqref="H10"/>
    </sheetView>
  </sheetViews>
  <sheetFormatPr defaultColWidth="9" defaultRowHeight="14" customHeight="1" x14ac:dyDescent="0.25"/>
  <cols>
    <col min="1" max="1" width="5.69921875" style="214" customWidth="1"/>
    <col min="2" max="10" width="10.69921875" style="6" customWidth="1"/>
    <col min="11" max="11" width="10.69921875" style="15" customWidth="1"/>
    <col min="12" max="32" width="10.69921875" style="6" customWidth="1"/>
    <col min="33" max="33" width="10" style="6"/>
    <col min="34" max="16384" width="9" style="6"/>
  </cols>
  <sheetData>
    <row r="1" spans="1:14" ht="14" customHeight="1" x14ac:dyDescent="0.25">
      <c r="A1" s="214">
        <v>28.5</v>
      </c>
      <c r="B1" s="215" t="s">
        <v>871</v>
      </c>
      <c r="C1" s="214"/>
      <c r="D1" s="214"/>
      <c r="E1" s="214"/>
      <c r="F1" s="214"/>
      <c r="G1" s="214"/>
      <c r="H1" s="214"/>
      <c r="I1" s="214"/>
      <c r="J1" s="214"/>
      <c r="K1" s="156"/>
      <c r="L1" s="214"/>
      <c r="M1" s="214"/>
      <c r="N1" s="214"/>
    </row>
    <row r="2" spans="1:14" ht="15" customHeight="1" x14ac:dyDescent="0.25">
      <c r="A2" s="154"/>
      <c r="B2" s="124">
        <v>2026</v>
      </c>
      <c r="C2" s="124" t="s">
        <v>693</v>
      </c>
      <c r="D2" s="339" t="s">
        <v>964</v>
      </c>
      <c r="E2" s="339"/>
      <c r="F2" s="124" t="s">
        <v>696</v>
      </c>
      <c r="G2" s="124" t="s">
        <v>697</v>
      </c>
      <c r="H2" s="124" t="s">
        <v>698</v>
      </c>
      <c r="I2" s="124" t="s">
        <v>699</v>
      </c>
      <c r="J2" s="124" t="s">
        <v>700</v>
      </c>
      <c r="K2" s="124" t="s">
        <v>701</v>
      </c>
      <c r="L2" s="124" t="s">
        <v>702</v>
      </c>
      <c r="M2" s="124" t="s">
        <v>703</v>
      </c>
      <c r="N2" s="124" t="s">
        <v>704</v>
      </c>
    </row>
    <row r="3" spans="1:14" ht="15" customHeight="1" x14ac:dyDescent="0.25">
      <c r="A3" s="154"/>
      <c r="B3" s="151" t="s">
        <v>17</v>
      </c>
      <c r="C3" s="152">
        <v>11.2</v>
      </c>
      <c r="D3" s="337">
        <v>28.5</v>
      </c>
      <c r="E3" s="337"/>
      <c r="F3" s="152">
        <v>15.199999999999996</v>
      </c>
      <c r="G3" s="152"/>
      <c r="H3" s="152"/>
      <c r="I3" s="152"/>
      <c r="J3" s="152"/>
      <c r="K3" s="152"/>
      <c r="L3" s="152"/>
      <c r="M3" s="152"/>
      <c r="N3" s="152"/>
    </row>
    <row r="4" spans="1:14" ht="15" customHeight="1" x14ac:dyDescent="0.25">
      <c r="A4" s="154"/>
      <c r="B4" s="149" t="s">
        <v>20</v>
      </c>
      <c r="C4" s="150">
        <v>4.4000000000000004</v>
      </c>
      <c r="D4" s="338">
        <v>15.9</v>
      </c>
      <c r="E4" s="338"/>
      <c r="F4" s="150">
        <v>7.0999999999999979</v>
      </c>
      <c r="G4" s="150"/>
      <c r="H4" s="150"/>
      <c r="I4" s="150"/>
      <c r="J4" s="150"/>
      <c r="K4" s="150"/>
      <c r="L4" s="150"/>
      <c r="M4" s="150"/>
      <c r="N4" s="150"/>
    </row>
    <row r="5" spans="1:14" ht="15" customHeight="1" x14ac:dyDescent="0.25">
      <c r="A5" s="154"/>
      <c r="B5" s="151" t="s">
        <v>15</v>
      </c>
      <c r="C5" s="152">
        <v>3.7</v>
      </c>
      <c r="D5" s="337">
        <v>7.6</v>
      </c>
      <c r="E5" s="337"/>
      <c r="F5" s="152">
        <v>5.5999999999999979</v>
      </c>
      <c r="G5" s="152"/>
      <c r="H5" s="152"/>
      <c r="I5" s="152"/>
      <c r="J5" s="152"/>
      <c r="K5" s="152"/>
      <c r="L5" s="152"/>
      <c r="M5" s="152"/>
      <c r="N5" s="152"/>
    </row>
    <row r="6" spans="1:14" ht="15" customHeight="1" x14ac:dyDescent="0.25">
      <c r="A6" s="154"/>
      <c r="B6" s="149" t="s">
        <v>18</v>
      </c>
      <c r="C6" s="150">
        <v>3.1</v>
      </c>
      <c r="D6" s="338">
        <v>6</v>
      </c>
      <c r="E6" s="338"/>
      <c r="F6" s="150">
        <v>2.9000000000000004</v>
      </c>
      <c r="G6" s="150"/>
      <c r="H6" s="150"/>
      <c r="I6" s="150"/>
      <c r="J6" s="150"/>
      <c r="K6" s="150"/>
      <c r="L6" s="150"/>
      <c r="M6" s="150"/>
      <c r="N6" s="150"/>
    </row>
    <row r="7" spans="1:14" ht="15" customHeight="1" x14ac:dyDescent="0.25">
      <c r="A7" s="154"/>
      <c r="B7" s="151" t="s">
        <v>25</v>
      </c>
      <c r="C7" s="152">
        <v>2.2999999999999998</v>
      </c>
      <c r="D7" s="337">
        <v>6.7</v>
      </c>
      <c r="E7" s="337"/>
      <c r="F7" s="152">
        <v>3.3000000000000007</v>
      </c>
      <c r="G7" s="152"/>
      <c r="H7" s="152"/>
      <c r="I7" s="152"/>
      <c r="J7" s="152"/>
      <c r="K7" s="152"/>
      <c r="L7" s="152"/>
      <c r="M7" s="152"/>
      <c r="N7" s="152"/>
    </row>
    <row r="8" spans="1:14" ht="15" customHeight="1" x14ac:dyDescent="0.25">
      <c r="A8" s="154"/>
      <c r="B8" s="149" t="s">
        <v>912</v>
      </c>
      <c r="C8" s="150">
        <v>1.6</v>
      </c>
      <c r="D8" s="338">
        <v>3.7</v>
      </c>
      <c r="E8" s="338"/>
      <c r="F8" s="150">
        <v>1.7000000000000002</v>
      </c>
      <c r="G8" s="150"/>
      <c r="H8" s="150"/>
      <c r="I8" s="150"/>
      <c r="J8" s="150"/>
      <c r="K8" s="150"/>
      <c r="L8" s="150"/>
      <c r="M8" s="150"/>
      <c r="N8" s="150"/>
    </row>
    <row r="9" spans="1:14" ht="15" customHeight="1" x14ac:dyDescent="0.25">
      <c r="A9" s="154"/>
      <c r="B9" s="151" t="s">
        <v>22</v>
      </c>
      <c r="C9" s="152">
        <v>1.2</v>
      </c>
      <c r="D9" s="337">
        <v>2.9</v>
      </c>
      <c r="E9" s="337"/>
      <c r="F9" s="152">
        <v>2</v>
      </c>
      <c r="G9" s="152"/>
      <c r="H9" s="152"/>
      <c r="I9" s="152"/>
      <c r="J9" s="152"/>
      <c r="K9" s="152"/>
      <c r="L9" s="152"/>
      <c r="M9" s="152"/>
      <c r="N9" s="152"/>
    </row>
    <row r="10" spans="1:14" ht="15" customHeight="1" x14ac:dyDescent="0.25">
      <c r="A10" s="154"/>
      <c r="B10" s="149" t="s">
        <v>35</v>
      </c>
      <c r="C10" s="150">
        <v>1</v>
      </c>
      <c r="D10" s="338">
        <v>2.5</v>
      </c>
      <c r="E10" s="338"/>
      <c r="F10" s="150">
        <v>1.4000000000000004</v>
      </c>
      <c r="G10" s="150"/>
      <c r="H10" s="150"/>
      <c r="I10" s="150"/>
      <c r="J10" s="150"/>
      <c r="K10" s="150"/>
      <c r="L10" s="150"/>
      <c r="M10" s="150"/>
      <c r="N10" s="150"/>
    </row>
    <row r="11" spans="1:14" ht="15" customHeight="1" x14ac:dyDescent="0.25">
      <c r="A11" s="154"/>
      <c r="B11" s="151" t="s">
        <v>21</v>
      </c>
      <c r="C11" s="152">
        <v>0.9</v>
      </c>
      <c r="D11" s="337">
        <v>1.7</v>
      </c>
      <c r="E11" s="337"/>
      <c r="F11" s="152">
        <v>1.1000000000000001</v>
      </c>
      <c r="G11" s="152"/>
      <c r="H11" s="152"/>
      <c r="I11" s="152"/>
      <c r="J11" s="152"/>
      <c r="K11" s="152"/>
      <c r="L11" s="152"/>
      <c r="M11" s="152"/>
      <c r="N11" s="152"/>
    </row>
    <row r="12" spans="1:14" ht="15" customHeight="1" x14ac:dyDescent="0.25">
      <c r="A12" s="154"/>
      <c r="B12" s="149" t="s">
        <v>915</v>
      </c>
      <c r="C12" s="150">
        <v>0.7</v>
      </c>
      <c r="D12" s="338">
        <v>1.8</v>
      </c>
      <c r="E12" s="338"/>
      <c r="F12" s="150">
        <v>0.79999999999999982</v>
      </c>
      <c r="G12" s="150"/>
      <c r="H12" s="150"/>
      <c r="I12" s="150"/>
      <c r="J12" s="150"/>
      <c r="K12" s="150"/>
      <c r="L12" s="150"/>
      <c r="M12" s="150"/>
      <c r="N12" s="150"/>
    </row>
    <row r="13" spans="1:14" ht="15" customHeight="1" x14ac:dyDescent="0.25">
      <c r="A13" s="154"/>
      <c r="B13" s="151"/>
      <c r="C13" s="152"/>
      <c r="D13" s="152"/>
      <c r="E13" s="152"/>
      <c r="F13" s="152"/>
      <c r="G13" s="152"/>
      <c r="H13" s="152"/>
      <c r="I13" s="152"/>
      <c r="J13" s="152"/>
      <c r="K13" s="152"/>
      <c r="L13" s="152"/>
      <c r="M13" s="152"/>
      <c r="N13" s="214"/>
    </row>
    <row r="14" spans="1:14" ht="15" customHeight="1" x14ac:dyDescent="0.25">
      <c r="A14" s="154"/>
      <c r="B14" s="124">
        <v>2025</v>
      </c>
      <c r="C14" s="124" t="s">
        <v>693</v>
      </c>
      <c r="D14" s="124" t="s">
        <v>694</v>
      </c>
      <c r="E14" s="124" t="s">
        <v>695</v>
      </c>
      <c r="F14" s="124" t="s">
        <v>696</v>
      </c>
      <c r="G14" s="124" t="s">
        <v>697</v>
      </c>
      <c r="H14" s="124" t="s">
        <v>698</v>
      </c>
      <c r="I14" s="124" t="s">
        <v>699</v>
      </c>
      <c r="J14" s="124" t="s">
        <v>700</v>
      </c>
      <c r="K14" s="124" t="s">
        <v>701</v>
      </c>
      <c r="L14" s="124" t="s">
        <v>702</v>
      </c>
      <c r="M14" s="124" t="s">
        <v>703</v>
      </c>
      <c r="N14" s="124" t="s">
        <v>704</v>
      </c>
    </row>
    <row r="15" spans="1:14" ht="15" customHeight="1" x14ac:dyDescent="0.25">
      <c r="A15" s="154"/>
      <c r="B15" s="151" t="s">
        <v>68</v>
      </c>
      <c r="C15" s="152">
        <f>VLOOKUP(B15,$C$251:$E$263,3,0)</f>
        <v>8</v>
      </c>
      <c r="D15" s="152">
        <f>VLOOKUP(B15,$C$236:$E$248,3,0)</f>
        <v>8.8000000000000007</v>
      </c>
      <c r="E15" s="152">
        <f>VLOOKUP(B15,$C$221:$E$233,3,0)</f>
        <v>12.2</v>
      </c>
      <c r="F15" s="152">
        <f>VLOOKUP(B15,$C$206:$E$218,3,0)</f>
        <v>10.3</v>
      </c>
      <c r="G15" s="152">
        <f>VLOOKUP(B15,$C$191:$E$203,3,0)</f>
        <v>11.1</v>
      </c>
      <c r="H15" s="152">
        <f>VLOOKUP(B15,$C$176:$E$188,3,0)</f>
        <v>11.7</v>
      </c>
      <c r="I15" s="152">
        <f>VLOOKUP(B15,$C$161:$E$173,3,0)</f>
        <v>11.2</v>
      </c>
      <c r="J15" s="152">
        <f>VLOOKUP(B15,$C$146:$E$158,3,0)</f>
        <v>10.5</v>
      </c>
      <c r="K15" s="152">
        <f>VLOOKUP(B15,$C$131:$E$143,3,0)</f>
        <v>12.700000000000003</v>
      </c>
      <c r="L15" s="152">
        <f>VLOOKUP(B15,$C$116:$E$128,3,0)</f>
        <v>13.599999999999994</v>
      </c>
      <c r="M15" s="152">
        <f>VLOOKUP(B15,$C$101:$E$113,3,0)</f>
        <v>11.100000000000009</v>
      </c>
      <c r="N15" s="152">
        <f>VLOOKUP(B15,$C$86:$E$98,3,0)</f>
        <v>17.600000000000009</v>
      </c>
    </row>
    <row r="16" spans="1:14" ht="15" customHeight="1" x14ac:dyDescent="0.25">
      <c r="A16" s="154"/>
      <c r="B16" s="149" t="s">
        <v>127</v>
      </c>
      <c r="C16" s="150">
        <f>VLOOKUP(B16,$C$251:$E$263,3,0)</f>
        <v>5.7</v>
      </c>
      <c r="D16" s="150">
        <f>VLOOKUP(B16,$C$236:$E$248,3,0)</f>
        <v>6.4999999999999991</v>
      </c>
      <c r="E16" s="150">
        <f>VLOOKUP(B16,$C$221:$E$233,3,0)</f>
        <v>9.6999999999999993</v>
      </c>
      <c r="F16" s="150">
        <f>VLOOKUP(B16,$C$206:$E$218,3,0)</f>
        <v>7</v>
      </c>
      <c r="G16" s="150">
        <f>VLOOKUP(B16,$C$191:$E$203,3,0)</f>
        <v>7.6</v>
      </c>
      <c r="H16" s="150" t="s">
        <v>67</v>
      </c>
      <c r="I16" s="150">
        <f>VLOOKUP(B16,$C$161:$E$173,3,0)</f>
        <v>7.9</v>
      </c>
      <c r="J16" s="150">
        <f>VLOOKUP(B16,$C$146:$E$158,3,0)</f>
        <v>10.399999999999999</v>
      </c>
      <c r="K16" s="150">
        <f>VLOOKUP(B16,$C$131:$E$143,3,0)</f>
        <v>11.400000000000006</v>
      </c>
      <c r="L16" s="150">
        <f>VLOOKUP(B16,$C$116:$E$128,3,0)</f>
        <v>6.5</v>
      </c>
      <c r="M16" s="150">
        <f>VLOOKUP(B16,$C$101:$E$113,3,0)</f>
        <v>7.7000000000000028</v>
      </c>
      <c r="N16" s="150">
        <f>VLOOKUP(B16,$C$86:$E$98,3,0)</f>
        <v>8.1999999999999886</v>
      </c>
    </row>
    <row r="17" spans="1:14" ht="15" customHeight="1" x14ac:dyDescent="0.25">
      <c r="A17" s="154"/>
      <c r="B17" s="151" t="s">
        <v>25</v>
      </c>
      <c r="C17" s="152">
        <f>VLOOKUP(B17,$C$251:$E$263,3,0)</f>
        <v>2.9</v>
      </c>
      <c r="D17" s="152">
        <f>VLOOKUP(B17,$C$236:$E$248,3,0)</f>
        <v>3.1999999999999997</v>
      </c>
      <c r="E17" s="152">
        <f>VLOOKUP(B17,$C$221:$E$233,3,0)</f>
        <v>4.3</v>
      </c>
      <c r="F17" s="152">
        <f>VLOOKUP(B17,$C$206:$E$218,3,0)</f>
        <v>3</v>
      </c>
      <c r="G17" s="152">
        <f>VLOOKUP(B17,$C$191:$E$203,3,0)</f>
        <v>3.4</v>
      </c>
      <c r="H17" s="152">
        <f>VLOOKUP(B17,$C$176:$E$188,3,0)</f>
        <v>2.8</v>
      </c>
      <c r="I17" s="152">
        <f>VLOOKUP(B17,$C$161:$E$173,3,0)</f>
        <v>5</v>
      </c>
      <c r="J17" s="152">
        <f>VLOOKUP(B17,$C$146:$E$158,3,0)</f>
        <v>4.3999999999999986</v>
      </c>
      <c r="K17" s="152">
        <f>VLOOKUP(B17,$C$131:$E$143,3,0)</f>
        <v>5.2999999999999972</v>
      </c>
      <c r="L17" s="152">
        <f>VLOOKUP(B17,$C$116:$E$128,3,0)</f>
        <v>3.2000000000000028</v>
      </c>
      <c r="M17" s="152">
        <f>VLOOKUP(B17,$C$101:$E$113,3,0)</f>
        <v>2.8999999999999986</v>
      </c>
      <c r="N17" s="152">
        <f>VLOOKUP(B17,$C$86:$E$98,3,0)</f>
        <v>4</v>
      </c>
    </row>
    <row r="18" spans="1:14" ht="15" customHeight="1" x14ac:dyDescent="0.25">
      <c r="A18" s="154"/>
      <c r="B18" s="149" t="s">
        <v>72</v>
      </c>
      <c r="C18" s="150">
        <f>VLOOKUP(B18,$C$251:$E$263,3,0)</f>
        <v>2.5</v>
      </c>
      <c r="D18" s="150">
        <f>VLOOKUP(B18,$C$236:$E$248,3,0)</f>
        <v>2.5999999999999996</v>
      </c>
      <c r="E18" s="150">
        <f>VLOOKUP(B18,$C$221:$E$233,3,0)</f>
        <v>2.1</v>
      </c>
      <c r="F18" s="150">
        <f>VLOOKUP(B18,$C$206:$E$218,3,0)</f>
        <v>2.2000000000000002</v>
      </c>
      <c r="G18" s="150">
        <f>VLOOKUP(B18,$C$191:$E$203,3,0)</f>
        <v>2.9</v>
      </c>
      <c r="H18" s="150">
        <f>VLOOKUP(B18,$C$176:$E$188,3,0)</f>
        <v>7.1</v>
      </c>
      <c r="I18" s="150">
        <f>VLOOKUP(B18,$C$161:$E$173,3,0)</f>
        <v>2.6</v>
      </c>
      <c r="J18" s="150">
        <f>VLOOKUP(B18,$C$146:$E$158,3,0)</f>
        <v>4.4000000000000021</v>
      </c>
      <c r="K18" s="150">
        <f>VLOOKUP(B18,$C$131:$E$143,3,0)</f>
        <v>7.1999999999999993</v>
      </c>
      <c r="L18" s="150">
        <f>VLOOKUP(B18,$C$116:$E$128,3,0)</f>
        <v>2.8999999999999986</v>
      </c>
      <c r="M18" s="150">
        <f>VLOOKUP(B18,$C$101:$E$113,3,0)</f>
        <v>2.6000000000000014</v>
      </c>
      <c r="N18" s="150">
        <f>VLOOKUP(B18,$C$86:$E$98,3,0)</f>
        <v>5.7000000000000028</v>
      </c>
    </row>
    <row r="19" spans="1:14" ht="15" customHeight="1" x14ac:dyDescent="0.25">
      <c r="A19" s="154"/>
      <c r="B19" s="151" t="s">
        <v>69</v>
      </c>
      <c r="C19" s="152">
        <f>VLOOKUP(B19,$C$251:$E$263,3,0)</f>
        <v>1.6</v>
      </c>
      <c r="D19" s="152">
        <f>VLOOKUP(B19,$C$236:$E$248,3,0)</f>
        <v>1.9</v>
      </c>
      <c r="E19" s="152">
        <f>VLOOKUP(B19,$C$221:$E$233,3,0)</f>
        <v>2.9</v>
      </c>
      <c r="F19" s="152">
        <f>VLOOKUP(B19,$C$206:$E$218,3,0)</f>
        <v>2.7</v>
      </c>
      <c r="G19" s="152">
        <f>VLOOKUP(B19,$C$191:$E$203,3,0)</f>
        <v>3.2</v>
      </c>
      <c r="H19" s="152">
        <f>VLOOKUP(B19,$C$176:$E$188,3,0)</f>
        <v>3.4</v>
      </c>
      <c r="I19" s="152">
        <f>VLOOKUP(B19,$C$161:$E$173,3,0)</f>
        <v>2.7</v>
      </c>
      <c r="J19" s="152">
        <f>VLOOKUP(B19,$C$146:$E$158,3,0)</f>
        <v>4</v>
      </c>
      <c r="K19" s="152">
        <f>VLOOKUP(B19,$C$131:$E$143,3,0)</f>
        <v>3.4000000000000021</v>
      </c>
      <c r="L19" s="152">
        <f>VLOOKUP(B19,$C$116:$E$128,3,0)</f>
        <v>2.8999999999999986</v>
      </c>
      <c r="M19" s="152">
        <f>VLOOKUP(B19,$C$101:$E$113,3,0)</f>
        <v>3.1999999999999993</v>
      </c>
      <c r="N19" s="152">
        <f>VLOOKUP(B19,$C$86:$E$98,3,0)</f>
        <v>4.7000000000000028</v>
      </c>
    </row>
    <row r="20" spans="1:14" ht="15" customHeight="1" x14ac:dyDescent="0.25">
      <c r="A20" s="154"/>
      <c r="B20" s="149" t="s">
        <v>128</v>
      </c>
      <c r="C20" s="150">
        <f>VLOOKUP(B20,$C$251:$E$263,3,0)</f>
        <v>2</v>
      </c>
      <c r="D20" s="150">
        <f>VLOOKUP(B20,$C$236:$E$248,3,0)</f>
        <v>2.2000000000000002</v>
      </c>
      <c r="E20" s="150">
        <f>VLOOKUP(B20,$C$221:$E$233,3,0)</f>
        <v>3.1</v>
      </c>
      <c r="F20" s="150">
        <f>VLOOKUP(B20,$C$206:$E$218,3,0)</f>
        <v>3</v>
      </c>
      <c r="G20" s="150">
        <f>VLOOKUP(B20,$C$191:$E$203,3,0)</f>
        <v>2.8</v>
      </c>
      <c r="H20" s="150">
        <f>VLOOKUP(B20,$C$176:$E$188,3,0)</f>
        <v>2.9</v>
      </c>
      <c r="I20" s="150">
        <f>VLOOKUP(B20,$C$161:$E$173,3,0)</f>
        <v>1.7</v>
      </c>
      <c r="J20" s="150">
        <f>VLOOKUP(B20,$C$146:$E$158,3,0)</f>
        <v>2.3000000000000007</v>
      </c>
      <c r="K20" s="150">
        <f>VLOOKUP(B20,$C$131:$E$143,3,0)</f>
        <v>3</v>
      </c>
      <c r="L20" s="150">
        <f>VLOOKUP(B20,$C$116:$E$128,3,0)</f>
        <v>2.1000000000000014</v>
      </c>
      <c r="M20" s="150">
        <f>VLOOKUP(B20,$C$101:$E$113,3,0)</f>
        <v>2</v>
      </c>
      <c r="N20" s="150">
        <f>VLOOKUP(B20,$C$86:$E$98,3,0)</f>
        <v>1.7999999999999972</v>
      </c>
    </row>
    <row r="21" spans="1:14" ht="15" customHeight="1" x14ac:dyDescent="0.25">
      <c r="A21" s="154"/>
      <c r="B21" s="151" t="s">
        <v>357</v>
      </c>
      <c r="C21" s="152" t="s">
        <v>319</v>
      </c>
      <c r="D21" s="152" t="s">
        <v>319</v>
      </c>
      <c r="E21" s="152">
        <f>VLOOKUP(B21,$C$221:$E$233,3,0)</f>
        <v>0.8</v>
      </c>
      <c r="F21" s="152">
        <f>VLOOKUP(B21,$C$206:$E$218,3,0)</f>
        <v>1</v>
      </c>
      <c r="G21" s="152">
        <f>VLOOKUP(B21,$C$191:$E$203,3,0)</f>
        <v>2.2999999999999998</v>
      </c>
      <c r="H21" s="152">
        <f>VLOOKUP(B21,$C$176:$E$188,3,0)</f>
        <v>0.9</v>
      </c>
      <c r="I21" s="152">
        <f>VLOOKUP(B21,$C$161:$E$173,3,0)</f>
        <v>0.6</v>
      </c>
      <c r="J21" s="152">
        <f>VLOOKUP(B21,$C$146:$E$158,3,0)</f>
        <v>1</v>
      </c>
      <c r="K21" s="152">
        <f>VLOOKUP(B21,$C$131:$E$143,3,0)</f>
        <v>0.79999999999999982</v>
      </c>
      <c r="L21" s="152">
        <f>VLOOKUP(B21,$C$116:$E$128,3,0)</f>
        <v>0.89999999999999947</v>
      </c>
      <c r="M21" s="152">
        <f>VLOOKUP(B21,$C$101:$E$113,3,0)</f>
        <v>0.90000000000000036</v>
      </c>
      <c r="N21" s="152">
        <f>VLOOKUP(B21,$C$86:$E$98,3,0)</f>
        <v>2.5</v>
      </c>
    </row>
    <row r="22" spans="1:14" ht="15" customHeight="1" x14ac:dyDescent="0.25">
      <c r="A22" s="154"/>
      <c r="B22" s="149" t="s">
        <v>74</v>
      </c>
      <c r="C22" s="150" t="s">
        <v>319</v>
      </c>
      <c r="D22" s="150" t="s">
        <v>319</v>
      </c>
      <c r="E22" s="150" t="s">
        <v>319</v>
      </c>
      <c r="F22" s="150" t="s">
        <v>319</v>
      </c>
      <c r="G22" s="150" t="s">
        <v>319</v>
      </c>
      <c r="H22" s="150" t="s">
        <v>319</v>
      </c>
      <c r="I22" s="150">
        <f>VLOOKUP(B22,$C$161:$E$173,3,0)</f>
        <v>1</v>
      </c>
      <c r="J22" s="150">
        <f>VLOOKUP(B22,$C$146:$E$158,3,0)</f>
        <v>0.60000000000000053</v>
      </c>
      <c r="K22" s="150">
        <f>VLOOKUP(B22,$C$131:$E$143,3,0)</f>
        <v>1.0999999999999996</v>
      </c>
      <c r="L22" s="150">
        <f>VLOOKUP(B22,$C$116:$E$128,3,0)</f>
        <v>0.90000000000000036</v>
      </c>
      <c r="M22" s="150">
        <f>VLOOKUP(B22,$C$101:$E$113,3,0)</f>
        <v>1.2999999999999989</v>
      </c>
      <c r="N22" s="150">
        <f>VLOOKUP(B22,$C$86:$E$98,3,0)</f>
        <v>1.1999999999999993</v>
      </c>
    </row>
    <row r="23" spans="1:14" ht="15" customHeight="1" x14ac:dyDescent="0.25">
      <c r="A23" s="154"/>
      <c r="B23" s="151" t="s">
        <v>70</v>
      </c>
      <c r="C23" s="152">
        <f>VLOOKUP(B23,$C$251:$E$263,3,0)</f>
        <v>0.6</v>
      </c>
      <c r="D23" s="152">
        <f>VLOOKUP(B23,$C$236:$E$248,3,0)</f>
        <v>0.70000000000000007</v>
      </c>
      <c r="E23" s="152">
        <f>VLOOKUP(B23,$C$221:$E$233,3,0)</f>
        <v>0.7</v>
      </c>
      <c r="F23" s="152">
        <f>VLOOKUP(B23,$C$206:$E$218,3,0)</f>
        <v>0.6</v>
      </c>
      <c r="G23" s="152">
        <f>VLOOKUP(B23,$C$191:$E$203,3,0)</f>
        <v>0.9</v>
      </c>
      <c r="H23" s="152">
        <f>VLOOKUP(B23,$C$176:$E$188,3,0)</f>
        <v>0.4</v>
      </c>
      <c r="I23" s="152">
        <f>VLOOKUP(B23,$C$161:$E$173,3,0)</f>
        <v>0.8</v>
      </c>
      <c r="J23" s="152">
        <f>VLOOKUP(B23,$C$146:$E$158,3,0)</f>
        <v>1.0999999999999996</v>
      </c>
      <c r="K23" s="152">
        <f>VLOOKUP(B23,$C$131:$E$143,3,0)</f>
        <v>1.1000000000000005</v>
      </c>
      <c r="L23" s="152">
        <f>VLOOKUP(B23,$C$116:$E$128,3,0)</f>
        <v>1.5</v>
      </c>
      <c r="M23" s="152">
        <f>VLOOKUP(B23,$C$101:$E$113,3,0)</f>
        <v>1.9000000000000004</v>
      </c>
      <c r="N23" s="152">
        <f>VLOOKUP(B23,$C$86:$E$98,3,0)</f>
        <v>1.3000000000000007</v>
      </c>
    </row>
    <row r="24" spans="1:14" ht="15" customHeight="1" x14ac:dyDescent="0.25">
      <c r="A24" s="154"/>
      <c r="B24" s="149" t="s">
        <v>705</v>
      </c>
      <c r="C24" s="150">
        <f>VLOOKUP(B24,$C$251:$E$263,3,0)</f>
        <v>0.8</v>
      </c>
      <c r="D24" s="150">
        <f>VLOOKUP(B24,$C$236:$E$248,3,0)</f>
        <v>0.89999999999999991</v>
      </c>
      <c r="E24" s="150">
        <f>VLOOKUP(B24,$C$221:$E$233,3,0)</f>
        <v>0.2</v>
      </c>
      <c r="F24" s="150">
        <f>VLOOKUP(B24,$C$206:$E$218,3,0)</f>
        <v>0.9</v>
      </c>
      <c r="G24" s="150">
        <f>VLOOKUP(B24,$C$191:$E$203,3,0)</f>
        <v>1</v>
      </c>
      <c r="H24" s="150">
        <f>VLOOKUP(B24,$C$176:$E$188,3,0)</f>
        <v>0.3</v>
      </c>
      <c r="I24" s="150">
        <f>VLOOKUP(B24,$C$161:$E$173,3,0)</f>
        <v>0.5</v>
      </c>
      <c r="J24" s="150">
        <f>VLOOKUP(B24,$C$146:$E$158,3,0)</f>
        <v>0.89999999999999947</v>
      </c>
      <c r="K24" s="150">
        <f>VLOOKUP(B24,$C$131:$E$143,3,0)</f>
        <v>1.2999999999999998</v>
      </c>
      <c r="L24" s="150">
        <f>VLOOKUP(B24,$C$116:$E$128,3,0)</f>
        <v>0.60000000000000053</v>
      </c>
      <c r="M24" s="150">
        <f>VLOOKUP(B24,$C$101:$E$113,3,0)</f>
        <v>0.5</v>
      </c>
      <c r="N24" s="150" t="s">
        <v>889</v>
      </c>
    </row>
    <row r="25" spans="1:14" ht="15" customHeight="1" x14ac:dyDescent="0.25">
      <c r="A25" s="154"/>
      <c r="B25" s="151"/>
      <c r="C25" s="152"/>
      <c r="D25" s="152"/>
      <c r="E25" s="152"/>
      <c r="F25" s="152"/>
      <c r="G25" s="152"/>
      <c r="H25" s="152"/>
      <c r="I25" s="152"/>
      <c r="J25" s="152"/>
      <c r="K25" s="152"/>
      <c r="L25" s="152"/>
      <c r="M25" s="152"/>
      <c r="N25" s="214"/>
    </row>
    <row r="26" spans="1:14" ht="15" customHeight="1" x14ac:dyDescent="0.25">
      <c r="A26" s="154"/>
      <c r="B26" s="124">
        <v>2024</v>
      </c>
      <c r="C26" s="124" t="s">
        <v>693</v>
      </c>
      <c r="D26" s="124" t="s">
        <v>694</v>
      </c>
      <c r="E26" s="124" t="s">
        <v>695</v>
      </c>
      <c r="F26" s="124" t="s">
        <v>696</v>
      </c>
      <c r="G26" s="124" t="s">
        <v>697</v>
      </c>
      <c r="H26" s="124" t="s">
        <v>698</v>
      </c>
      <c r="I26" s="124" t="s">
        <v>699</v>
      </c>
      <c r="J26" s="124" t="s">
        <v>700</v>
      </c>
      <c r="K26" s="124" t="s">
        <v>701</v>
      </c>
      <c r="L26" s="124" t="s">
        <v>702</v>
      </c>
      <c r="M26" s="124" t="s">
        <v>703</v>
      </c>
      <c r="N26" s="124" t="s">
        <v>704</v>
      </c>
    </row>
    <row r="27" spans="1:14" ht="15" customHeight="1" x14ac:dyDescent="0.25">
      <c r="A27" s="154"/>
      <c r="B27" s="151" t="s">
        <v>68</v>
      </c>
      <c r="C27" s="152">
        <f>VLOOKUP(B27,$C$251:$E$263,2,0)</f>
        <v>5.7</v>
      </c>
      <c r="D27" s="152">
        <f>VLOOKUP(B27,$C$236:$E$248,2,0)</f>
        <v>6.6000000000000005</v>
      </c>
      <c r="E27" s="152">
        <f>VLOOKUP(B27,$C$221:$E$233,2,0)</f>
        <v>9.1</v>
      </c>
      <c r="F27" s="152">
        <f>VLOOKUP(B27,$C$206:$E$218,2,0)</f>
        <v>7.5</v>
      </c>
      <c r="G27" s="152">
        <f>VLOOKUP(B27,$C$191:$E$203,2,0)</f>
        <v>7.9</v>
      </c>
      <c r="H27" s="152">
        <f>VLOOKUP(B27,$C$176:$E$188,2,0)</f>
        <v>9.8000000000000007</v>
      </c>
      <c r="I27" s="152">
        <f>VLOOKUP(B27,$C$161:$E$173,2,0)</f>
        <v>7.6</v>
      </c>
      <c r="J27" s="152">
        <f>VLOOKUP(B27,$C$146:$E$158,2,0)</f>
        <v>7</v>
      </c>
      <c r="K27" s="152">
        <f>VLOOKUP(B27,$C$131:$E$143,2,0)</f>
        <v>9.5999999999999943</v>
      </c>
      <c r="L27" s="152">
        <f>VLOOKUP(B27,$C$116:$E$128,2,0)</f>
        <v>9.2000000000000028</v>
      </c>
      <c r="M27" s="152">
        <f>VLOOKUP(B27,$C$101:$E$113,2,0)</f>
        <v>8.2000000000000028</v>
      </c>
      <c r="N27" s="152">
        <f>VLOOKUP(B27,$C$86:$E$98,2,0)</f>
        <v>11.099999999999994</v>
      </c>
    </row>
    <row r="28" spans="1:14" ht="15" customHeight="1" x14ac:dyDescent="0.25">
      <c r="A28" s="154"/>
      <c r="B28" s="149" t="s">
        <v>127</v>
      </c>
      <c r="C28" s="150">
        <f>VLOOKUP(B28,$C$251:$E$263,2,0)</f>
        <v>5</v>
      </c>
      <c r="D28" s="150">
        <f>VLOOKUP(B28,$C$236:$E$248,2,0)</f>
        <v>5.6999999999999993</v>
      </c>
      <c r="E28" s="150">
        <f>VLOOKUP(B28,$C$221:$E$233,2,0)</f>
        <v>8.3000000000000007</v>
      </c>
      <c r="F28" s="150">
        <f>VLOOKUP(B28,$C$206:$E$218,2,0)</f>
        <v>6</v>
      </c>
      <c r="G28" s="150">
        <f>VLOOKUP(B28,$C$191:$E$203,2,0)</f>
        <v>7.3</v>
      </c>
      <c r="H28" s="150">
        <f>VLOOKUP(B28,$C$176:$E$188,2,0)</f>
        <v>9.8000000000000007</v>
      </c>
      <c r="I28" s="150">
        <f>VLOOKUP(B28,$C$161:$E$173,2,0)</f>
        <v>5.9</v>
      </c>
      <c r="J28" s="150">
        <f>VLOOKUP(B28,$C$146:$E$158,2,0)</f>
        <v>7.1000000000000014</v>
      </c>
      <c r="K28" s="150">
        <f>VLOOKUP(B28,$C$131:$E$143,2,0)</f>
        <v>9.1999999999999957</v>
      </c>
      <c r="L28" s="150">
        <f>VLOOKUP(B28,$C$116:$E$128,2,0)</f>
        <v>6.7999999999999972</v>
      </c>
      <c r="M28" s="150">
        <f>VLOOKUP(B28,$C$101:$E$113,2,0)</f>
        <v>9.6000000000000085</v>
      </c>
      <c r="N28" s="150">
        <f>VLOOKUP(B28,$C$86:$E$98,2,0)</f>
        <v>9.5</v>
      </c>
    </row>
    <row r="29" spans="1:14" ht="15" customHeight="1" x14ac:dyDescent="0.25">
      <c r="A29" s="154"/>
      <c r="B29" s="151" t="s">
        <v>25</v>
      </c>
      <c r="C29" s="152">
        <f>VLOOKUP(B29,$C$251:$E$263,2,0)</f>
        <v>2.1</v>
      </c>
      <c r="D29" s="152">
        <f>VLOOKUP(B29,$C$236:$E$248,2,0)</f>
        <v>2.3000000000000003</v>
      </c>
      <c r="E29" s="152">
        <f>VLOOKUP(B29,$C$221:$E$233,2,0)</f>
        <v>3.3</v>
      </c>
      <c r="F29" s="152">
        <f>VLOOKUP(B29,$C$206:$E$218,2,0)</f>
        <v>3.1</v>
      </c>
      <c r="G29" s="152">
        <f>VLOOKUP(B29,$C$191:$E$203,2,0)</f>
        <v>3.4</v>
      </c>
      <c r="H29" s="152">
        <f>VLOOKUP(B29,$C$176:$E$188,2,0)</f>
        <v>3.5</v>
      </c>
      <c r="I29" s="152">
        <f>VLOOKUP(B29,$C$161:$E$173,2,0)</f>
        <v>3.3</v>
      </c>
      <c r="J29" s="152">
        <f>VLOOKUP(B29,$C$146:$E$158,2,0)</f>
        <v>3.1999999999999993</v>
      </c>
      <c r="K29" s="152">
        <f>VLOOKUP(B29,$C$131:$E$143,2,0)</f>
        <v>3.6000000000000014</v>
      </c>
      <c r="L29" s="152">
        <f>VLOOKUP(B29,$C$116:$E$128,2,0)</f>
        <v>3.6999999999999993</v>
      </c>
      <c r="M29" s="152">
        <f>VLOOKUP(B29,$C$101:$E$113,2,0)</f>
        <v>4</v>
      </c>
      <c r="N29" s="152">
        <f>VLOOKUP(B29,$C$86:$E$98,2,0)</f>
        <v>4.1000000000000014</v>
      </c>
    </row>
    <row r="30" spans="1:14" ht="15" customHeight="1" x14ac:dyDescent="0.25">
      <c r="A30" s="154"/>
      <c r="B30" s="149" t="s">
        <v>72</v>
      </c>
      <c r="C30" s="150">
        <f>VLOOKUP(B30,$C$251:$E$263,2,0)</f>
        <v>2.5</v>
      </c>
      <c r="D30" s="150">
        <f>VLOOKUP(B30,$C$236:$E$248,2,0)</f>
        <v>2.5999999999999996</v>
      </c>
      <c r="E30" s="150">
        <f>VLOOKUP(B30,$C$221:$E$233,2,0)</f>
        <v>2.6</v>
      </c>
      <c r="F30" s="150">
        <f>VLOOKUP(B30,$C$206:$E$218,2,0)</f>
        <v>2.6</v>
      </c>
      <c r="G30" s="150">
        <f>VLOOKUP(B30,$C$191:$E$203,2,0)</f>
        <v>2.1</v>
      </c>
      <c r="H30" s="150">
        <f>VLOOKUP(B30,$C$176:$E$188,2,0)</f>
        <v>3.1</v>
      </c>
      <c r="I30" s="150">
        <f>VLOOKUP(B30,$C$161:$E$173,2,0)</f>
        <v>2.6</v>
      </c>
      <c r="J30" s="150">
        <f>VLOOKUP(B30,$C$146:$E$158,2,0)</f>
        <v>3.0999999999999979</v>
      </c>
      <c r="K30" s="150">
        <f>VLOOKUP(B30,$C$131:$E$143,2,0)</f>
        <v>2.9000000000000021</v>
      </c>
      <c r="L30" s="150">
        <f>VLOOKUP(B30,$C$116:$E$128,2,0)</f>
        <v>3.1999999999999993</v>
      </c>
      <c r="M30" s="150">
        <f>VLOOKUP(B30,$C$101:$E$113,2,0)</f>
        <v>3</v>
      </c>
      <c r="N30" s="150">
        <f>VLOOKUP(B30,$C$86:$E$98,2,0)</f>
        <v>3.3000000000000007</v>
      </c>
    </row>
    <row r="31" spans="1:14" ht="15" customHeight="1" x14ac:dyDescent="0.25">
      <c r="A31" s="154"/>
      <c r="B31" s="151" t="s">
        <v>69</v>
      </c>
      <c r="C31" s="152">
        <f>VLOOKUP(B31,$C$251:$E$263,2,0)</f>
        <v>1.3</v>
      </c>
      <c r="D31" s="152">
        <f>VLOOKUP(B31,$C$236:$E$248,2,0)</f>
        <v>0.8</v>
      </c>
      <c r="E31" s="152">
        <f>VLOOKUP(B31,$C$221:$E$233,2,0)</f>
        <v>1</v>
      </c>
      <c r="F31" s="152">
        <f>VLOOKUP(B31,$C$206:$E$218,2,0)</f>
        <v>0.9</v>
      </c>
      <c r="G31" s="152">
        <f>VLOOKUP(B31,$C$191:$E$203,2,0)</f>
        <v>1</v>
      </c>
      <c r="H31" s="152">
        <f>VLOOKUP(B31,$C$176:$E$188,2,0)</f>
        <v>1.2</v>
      </c>
      <c r="I31" s="152">
        <f>VLOOKUP(B31,$C$161:$E$173,2,0)</f>
        <v>1.4</v>
      </c>
      <c r="J31" s="152">
        <f>VLOOKUP(B31,$C$146:$E$158,2,0)</f>
        <v>1.4000000000000004</v>
      </c>
      <c r="K31" s="152">
        <f>VLOOKUP(B31,$C$131:$E$143,2,0)</f>
        <v>1.5</v>
      </c>
      <c r="L31" s="152">
        <f>VLOOKUP(B31,$C$116:$E$128,2,0)</f>
        <v>1.4000000000000004</v>
      </c>
      <c r="M31" s="152">
        <f>VLOOKUP(B31,$C$101:$E$113,2,0)</f>
        <v>1.5</v>
      </c>
      <c r="N31" s="152">
        <f>VLOOKUP(B31,$C$86:$E$98,2,0)</f>
        <v>1.7999999999999989</v>
      </c>
    </row>
    <row r="32" spans="1:14" ht="15" customHeight="1" x14ac:dyDescent="0.25">
      <c r="A32" s="154"/>
      <c r="B32" s="149" t="s">
        <v>128</v>
      </c>
      <c r="C32" s="150">
        <f>VLOOKUP(B32,$C$251:$E$263,2,0)</f>
        <v>2.6</v>
      </c>
      <c r="D32" s="150">
        <f>VLOOKUP(B32,$C$236:$E$248,2,0)</f>
        <v>2.8000000000000003</v>
      </c>
      <c r="E32" s="150">
        <f>VLOOKUP(B32,$C$221:$E$233,2,0)</f>
        <v>3.4</v>
      </c>
      <c r="F32" s="150">
        <f>VLOOKUP(B32,$C$206:$E$218,2,0)</f>
        <v>2.8</v>
      </c>
      <c r="G32" s="150">
        <f>VLOOKUP(B32,$C$191:$E$203,2,0)</f>
        <v>2.7</v>
      </c>
      <c r="H32" s="150">
        <f>VLOOKUP(B32,$C$176:$E$188,2,0)</f>
        <v>3</v>
      </c>
      <c r="I32" s="150">
        <f>VLOOKUP(B32,$C$161:$E$173,2,0)</f>
        <v>2.4</v>
      </c>
      <c r="J32" s="150">
        <f>VLOOKUP(B32,$C$146:$E$158,2,0)</f>
        <v>2.1999999999999993</v>
      </c>
      <c r="K32" s="150">
        <f>VLOOKUP(B32,$C$131:$E$143,2,0)</f>
        <v>2.2000000000000028</v>
      </c>
      <c r="L32" s="150">
        <f>VLOOKUP(B32,$C$116:$E$128,2,0)</f>
        <v>2.1999999999999993</v>
      </c>
      <c r="M32" s="150">
        <f>VLOOKUP(B32,$C$101:$E$113,2,0)</f>
        <v>2.1999999999999993</v>
      </c>
      <c r="N32" s="150">
        <f>VLOOKUP(B32,$C$86:$E$98,2,0)</f>
        <v>2.5</v>
      </c>
    </row>
    <row r="33" spans="1:32" ht="15" customHeight="1" x14ac:dyDescent="0.25">
      <c r="A33" s="154"/>
      <c r="B33" s="151" t="s">
        <v>357</v>
      </c>
      <c r="C33" s="152">
        <f>D439</f>
        <v>0.4</v>
      </c>
      <c r="D33" s="152">
        <f>D424</f>
        <v>0.5</v>
      </c>
      <c r="E33" s="152">
        <f>VLOOKUP(B33,$C$221:$E$233,2,0)</f>
        <v>0.7</v>
      </c>
      <c r="F33" s="152">
        <f>VLOOKUP(B33,$C$206:$E$218,2,0)</f>
        <v>0.7</v>
      </c>
      <c r="G33" s="152">
        <f>VLOOKUP(B33,$C$191:$E$203,2,0)</f>
        <v>3.1</v>
      </c>
      <c r="H33" s="152">
        <f>VLOOKUP(B33,$C$176:$E$188,2,0)</f>
        <v>0.5</v>
      </c>
      <c r="I33" s="152">
        <f>VLOOKUP(B33,$C$161:$E$173,2,0)</f>
        <v>0.5</v>
      </c>
      <c r="J33" s="152">
        <f>VLOOKUP(B33,$C$146:$E$158,2,0)</f>
        <v>0.40000000000000036</v>
      </c>
      <c r="K33" s="152">
        <f>VLOOKUP(B33,$C$131:$E$143,2,0)</f>
        <v>0.59999999999999964</v>
      </c>
      <c r="L33" s="152">
        <f>VLOOKUP(B33,$C$116:$E$128,2,0)</f>
        <v>0.80000000000000071</v>
      </c>
      <c r="M33" s="152">
        <f>VLOOKUP(B33,$C$101:$E$113,2,0)</f>
        <v>0.79999999999999982</v>
      </c>
      <c r="N33" s="152">
        <f>VLOOKUP(B33,$C$86:$E$98,2,0)</f>
        <v>1</v>
      </c>
    </row>
    <row r="34" spans="1:32" ht="15" customHeight="1" x14ac:dyDescent="0.25">
      <c r="A34" s="154"/>
      <c r="B34" s="149" t="s">
        <v>74</v>
      </c>
      <c r="C34" s="150" t="s">
        <v>319</v>
      </c>
      <c r="D34" s="150" t="s">
        <v>319</v>
      </c>
      <c r="E34" s="150" t="s">
        <v>319</v>
      </c>
      <c r="F34" s="150" t="s">
        <v>319</v>
      </c>
      <c r="G34" s="150" t="s">
        <v>319</v>
      </c>
      <c r="H34" s="150" t="s">
        <v>319</v>
      </c>
      <c r="I34" s="150">
        <f>VLOOKUP(B34,$C$161:$E$173,2,0)</f>
        <v>0.3</v>
      </c>
      <c r="J34" s="150">
        <f>VLOOKUP(B34,$C$146:$E$158,2,0)</f>
        <v>0.20000000000000007</v>
      </c>
      <c r="K34" s="150">
        <f>VLOOKUP(B34,$C$131:$E$143,2,0)</f>
        <v>0.39999999999999991</v>
      </c>
      <c r="L34" s="150">
        <f>VLOOKUP(B34,$C$116:$E$128,2,0)</f>
        <v>0.40000000000000013</v>
      </c>
      <c r="M34" s="150">
        <f>VLOOKUP(B34,$C$101:$E$113,2,0)</f>
        <v>0.5</v>
      </c>
      <c r="N34" s="150">
        <f>VLOOKUP(B34,$C$86:$E$98,2,0)</f>
        <v>0.79999999999999982</v>
      </c>
    </row>
    <row r="35" spans="1:32" ht="15" customHeight="1" x14ac:dyDescent="0.25">
      <c r="A35" s="154"/>
      <c r="B35" s="151" t="s">
        <v>70</v>
      </c>
      <c r="C35" s="152">
        <f>VLOOKUP(B35,$C$251:$E$263,2,0)</f>
        <v>0.4</v>
      </c>
      <c r="D35" s="152">
        <f>VLOOKUP(B35,$C$236:$E$248,2,0)</f>
        <v>0.19999999999999996</v>
      </c>
      <c r="E35" s="152">
        <f>VLOOKUP(B35,$C$221:$E$233,2,0)</f>
        <v>0.3</v>
      </c>
      <c r="F35" s="152">
        <f>VLOOKUP(B35,$C$206:$E$218,2,0)</f>
        <v>0.4</v>
      </c>
      <c r="G35" s="152">
        <f>VLOOKUP(B35,$C$191:$E$203,2,0)</f>
        <v>0.3</v>
      </c>
      <c r="H35" s="152">
        <f>VLOOKUP(B35,$C$176:$E$188,2,0)</f>
        <v>0.4</v>
      </c>
      <c r="I35" s="152">
        <f>VLOOKUP(B35,$C$161:$E$173,2,0)</f>
        <v>0.6</v>
      </c>
      <c r="J35" s="152">
        <f>VLOOKUP(B35,$C$146:$E$158,2,0)</f>
        <v>0.79999999999999982</v>
      </c>
      <c r="K35" s="152">
        <f>VLOOKUP(B35,$C$131:$E$143,2,0)</f>
        <v>0.89999999999999991</v>
      </c>
      <c r="L35" s="152">
        <f>VLOOKUP(B35,$C$116:$E$128,2,0)</f>
        <v>1</v>
      </c>
      <c r="M35" s="152">
        <f>VLOOKUP(B35,$C$101:$E$113,2,0)</f>
        <v>0.90000000000000036</v>
      </c>
      <c r="N35" s="152">
        <f>VLOOKUP(B35,$C$86:$E$98,2,0)</f>
        <v>0.5</v>
      </c>
    </row>
    <row r="36" spans="1:32" ht="15" customHeight="1" x14ac:dyDescent="0.25">
      <c r="A36" s="154"/>
      <c r="B36" s="149" t="s">
        <v>705</v>
      </c>
      <c r="C36" s="150">
        <f>VLOOKUP(B36,$C$251:$E$263,2,0)</f>
        <v>0.1</v>
      </c>
      <c r="D36" s="150">
        <f>VLOOKUP(B36,$C$236:$E$248,2,0)</f>
        <v>0.1</v>
      </c>
      <c r="E36" s="150">
        <f>VLOOKUP(B36,$C$221:$E$233,2,0)</f>
        <v>0.1</v>
      </c>
      <c r="F36" s="150">
        <f>VLOOKUP(B36,$C$206:$E$218,2,0)</f>
        <v>0.3</v>
      </c>
      <c r="G36" s="150">
        <f>VLOOKUP(B36,$C$191:$E$203,2,0)</f>
        <v>0.7</v>
      </c>
      <c r="H36" s="150">
        <f>VLOOKUP(B36,$C$176:$E$188,2,0)</f>
        <v>0.4</v>
      </c>
      <c r="I36" s="150">
        <f>VLOOKUP(B36,$C$161:$E$173,2,0)</f>
        <v>1</v>
      </c>
      <c r="J36" s="150">
        <f>VLOOKUP(B36,$C$146:$E$158,2,0)</f>
        <v>1.2000000000000002</v>
      </c>
      <c r="K36" s="150">
        <f>VLOOKUP(B36,$C$131:$E$143,2,0)</f>
        <v>1.1000000000000001</v>
      </c>
      <c r="L36" s="150">
        <f>VLOOKUP(B36,$C$116:$E$128,2,0)</f>
        <v>1.0999999999999996</v>
      </c>
      <c r="M36" s="150">
        <f>VLOOKUP(B36,$C$101:$E$113,2,0)</f>
        <v>1</v>
      </c>
      <c r="N36" s="150" t="s">
        <v>889</v>
      </c>
    </row>
    <row r="37" spans="1:32" ht="15" customHeight="1" x14ac:dyDescent="0.25">
      <c r="A37" s="154"/>
      <c r="B37" s="151"/>
      <c r="C37" s="214"/>
      <c r="D37" s="214"/>
      <c r="E37" s="214"/>
      <c r="F37" s="214"/>
      <c r="G37" s="214"/>
      <c r="H37" s="214"/>
      <c r="I37" s="214"/>
      <c r="J37" s="214"/>
      <c r="K37" s="156"/>
      <c r="L37" s="214"/>
      <c r="M37" s="214"/>
      <c r="N37" s="214"/>
    </row>
    <row r="38" spans="1:32" ht="14" customHeight="1" x14ac:dyDescent="0.25">
      <c r="A38" s="154"/>
    </row>
    <row r="39" spans="1:32" ht="14" customHeight="1" x14ac:dyDescent="0.25">
      <c r="A39" s="154"/>
    </row>
    <row r="40" spans="1:32" ht="14" customHeight="1" x14ac:dyDescent="0.25">
      <c r="A40" s="154"/>
      <c r="B40" s="266" t="s">
        <v>1034</v>
      </c>
      <c r="J40" s="266" t="s">
        <v>1035</v>
      </c>
      <c r="K40" s="6"/>
    </row>
    <row r="41" spans="1:32" s="216" customFormat="1" ht="14" customHeight="1" x14ac:dyDescent="0.25">
      <c r="A41" s="154"/>
      <c r="B41" s="36" t="s">
        <v>582</v>
      </c>
      <c r="C41" s="36" t="s">
        <v>335</v>
      </c>
      <c r="D41" s="140">
        <v>45748</v>
      </c>
      <c r="E41" s="140">
        <v>46113</v>
      </c>
      <c r="F41" s="36" t="s">
        <v>34</v>
      </c>
      <c r="G41" s="36" t="s">
        <v>941</v>
      </c>
      <c r="H41" s="36" t="s">
        <v>942</v>
      </c>
      <c r="J41" s="36" t="s">
        <v>582</v>
      </c>
      <c r="K41" s="36" t="s">
        <v>335</v>
      </c>
      <c r="L41" s="36" t="s">
        <v>1028</v>
      </c>
      <c r="M41" s="36" t="s">
        <v>1029</v>
      </c>
      <c r="N41" s="36" t="s">
        <v>34</v>
      </c>
      <c r="O41" s="36" t="s">
        <v>908</v>
      </c>
      <c r="P41" s="36" t="s">
        <v>909</v>
      </c>
      <c r="R41" s="141"/>
      <c r="S41" s="141"/>
      <c r="T41" s="141"/>
      <c r="U41" s="141"/>
      <c r="V41" s="142"/>
      <c r="W41" s="142"/>
      <c r="X41" s="142"/>
      <c r="AA41" s="12"/>
      <c r="AB41" s="12"/>
      <c r="AC41" s="12"/>
      <c r="AD41" s="13"/>
      <c r="AE41" s="13"/>
      <c r="AF41" s="13"/>
    </row>
    <row r="42" spans="1:32" ht="14" customHeight="1" x14ac:dyDescent="0.25">
      <c r="A42" s="151"/>
      <c r="B42" s="8">
        <v>1</v>
      </c>
      <c r="C42" s="8" t="s">
        <v>17</v>
      </c>
      <c r="D42" s="8">
        <f>L42-L57</f>
        <v>10.399999999999999</v>
      </c>
      <c r="E42" s="8">
        <f>M42-M57</f>
        <v>15.199999999999996</v>
      </c>
      <c r="F42" s="36">
        <f>E42/D42-1</f>
        <v>0.46153846153846123</v>
      </c>
      <c r="G42" s="36">
        <f>D42/D$53</f>
        <v>-0.12016175621028306</v>
      </c>
      <c r="H42" s="36">
        <f>E42/E$53</f>
        <v>0.33554083885209718</v>
      </c>
      <c r="I42" s="9"/>
      <c r="J42" s="8">
        <v>1</v>
      </c>
      <c r="K42" s="8" t="s">
        <v>17</v>
      </c>
      <c r="L42" s="8">
        <v>40.4</v>
      </c>
      <c r="M42" s="8">
        <v>54.9</v>
      </c>
      <c r="N42" s="36">
        <f>M42/L42-1</f>
        <v>0.35891089108910901</v>
      </c>
      <c r="O42" s="36">
        <f>L42/L$53</f>
        <v>3.003717472118959</v>
      </c>
      <c r="P42" s="36">
        <f>M42/M$53</f>
        <v>0.33743085433312847</v>
      </c>
      <c r="R42" s="12"/>
      <c r="S42" s="12"/>
      <c r="T42" s="12"/>
      <c r="U42" s="12"/>
      <c r="V42" s="12"/>
      <c r="W42" s="13"/>
      <c r="X42" s="13"/>
      <c r="Y42" s="13"/>
    </row>
    <row r="43" spans="1:32" ht="14" customHeight="1" x14ac:dyDescent="0.25">
      <c r="A43" s="151"/>
      <c r="B43" s="8">
        <v>2</v>
      </c>
      <c r="C43" s="8" t="s">
        <v>20</v>
      </c>
      <c r="D43" s="8">
        <f t="shared" ref="D43:E43" si="0">L43-L58</f>
        <v>6.5</v>
      </c>
      <c r="E43" s="8">
        <f t="shared" si="0"/>
        <v>7.0999999999999979</v>
      </c>
      <c r="F43" s="36">
        <f t="shared" ref="F43:F52" si="1">E43/D43-1</f>
        <v>9.230769230769198E-2</v>
      </c>
      <c r="G43" s="36">
        <f t="shared" ref="G43:G53" si="2">D43/D$53</f>
        <v>-7.510109763142693E-2</v>
      </c>
      <c r="H43" s="36">
        <f t="shared" ref="H43:H53" si="3">E43/E$53</f>
        <v>0.1567328918322296</v>
      </c>
      <c r="I43" s="9"/>
      <c r="J43" s="8">
        <v>2</v>
      </c>
      <c r="K43" s="8" t="s">
        <v>20</v>
      </c>
      <c r="L43" s="8">
        <v>26.9</v>
      </c>
      <c r="M43" s="8">
        <v>27.4</v>
      </c>
      <c r="N43" s="36">
        <f t="shared" ref="N43:N52" si="4">M43/L43-1</f>
        <v>1.8587360594795488E-2</v>
      </c>
      <c r="O43" s="36">
        <f t="shared" ref="O43:O53" si="5">L43/L$53</f>
        <v>2</v>
      </c>
      <c r="P43" s="36">
        <f t="shared" ref="P43:P53" si="6">M43/M$53</f>
        <v>0.1684081130915796</v>
      </c>
      <c r="R43" s="12"/>
      <c r="S43" s="12"/>
      <c r="T43" s="12"/>
      <c r="U43" s="12"/>
      <c r="V43" s="12"/>
      <c r="W43" s="13"/>
      <c r="X43" s="13"/>
      <c r="Y43" s="13"/>
    </row>
    <row r="44" spans="1:32" ht="14" customHeight="1" x14ac:dyDescent="0.25">
      <c r="A44" s="151"/>
      <c r="B44" s="8">
        <v>3</v>
      </c>
      <c r="C44" s="8" t="s">
        <v>15</v>
      </c>
      <c r="D44" s="8">
        <f t="shared" ref="D44:E44" si="7">L44-L59</f>
        <v>2.8000000000000007</v>
      </c>
      <c r="E44" s="8">
        <f t="shared" si="7"/>
        <v>5.5999999999999979</v>
      </c>
      <c r="F44" s="36">
        <f t="shared" si="1"/>
        <v>0.99999999999999867</v>
      </c>
      <c r="G44" s="36">
        <f t="shared" si="2"/>
        <v>-3.235124205661468E-2</v>
      </c>
      <c r="H44" s="36">
        <f t="shared" si="3"/>
        <v>0.12362030905077262</v>
      </c>
      <c r="I44" s="9"/>
      <c r="J44" s="8">
        <v>3</v>
      </c>
      <c r="K44" s="8" t="s">
        <v>15</v>
      </c>
      <c r="L44" s="8">
        <v>9.8000000000000007</v>
      </c>
      <c r="M44" s="8">
        <v>16.899999999999999</v>
      </c>
      <c r="N44" s="36">
        <f t="shared" si="4"/>
        <v>0.72448979591836715</v>
      </c>
      <c r="O44" s="36">
        <f t="shared" si="5"/>
        <v>0.72862453531598526</v>
      </c>
      <c r="P44" s="36">
        <f t="shared" si="6"/>
        <v>0.10387215734480638</v>
      </c>
      <c r="R44" s="12"/>
      <c r="S44" s="12"/>
      <c r="T44" s="12"/>
      <c r="U44" s="12"/>
      <c r="V44" s="12"/>
      <c r="W44" s="13"/>
      <c r="X44" s="13"/>
      <c r="Y44" s="13"/>
    </row>
    <row r="45" spans="1:32" ht="14" customHeight="1" x14ac:dyDescent="0.25">
      <c r="A45" s="151"/>
      <c r="B45" s="8">
        <v>4</v>
      </c>
      <c r="C45" s="8" t="s">
        <v>18</v>
      </c>
      <c r="D45" s="8">
        <f t="shared" ref="D45:E45" si="8">L45-L60</f>
        <v>3.8000000000000007</v>
      </c>
      <c r="E45" s="8">
        <f t="shared" si="8"/>
        <v>2.9000000000000004</v>
      </c>
      <c r="F45" s="36">
        <f t="shared" si="1"/>
        <v>-0.23684210526315796</v>
      </c>
      <c r="G45" s="36">
        <f t="shared" si="2"/>
        <v>-4.3905257076834209E-2</v>
      </c>
      <c r="H45" s="36">
        <f t="shared" si="3"/>
        <v>6.4017660044150146E-2</v>
      </c>
      <c r="I45" s="9"/>
      <c r="J45" s="8">
        <v>4</v>
      </c>
      <c r="K45" s="8" t="s">
        <v>18</v>
      </c>
      <c r="L45" s="8">
        <v>12.5</v>
      </c>
      <c r="M45" s="8">
        <v>12</v>
      </c>
      <c r="N45" s="36">
        <f t="shared" si="4"/>
        <v>-4.0000000000000036E-2</v>
      </c>
      <c r="O45" s="36">
        <f t="shared" si="5"/>
        <v>0.92936802973977695</v>
      </c>
      <c r="P45" s="36">
        <f t="shared" si="6"/>
        <v>7.3755377996312238E-2</v>
      </c>
      <c r="R45" s="12"/>
      <c r="S45" s="12"/>
      <c r="T45" s="12"/>
      <c r="U45" s="12"/>
      <c r="V45" s="12"/>
      <c r="W45" s="13"/>
      <c r="X45" s="13"/>
      <c r="Y45" s="13"/>
    </row>
    <row r="46" spans="1:32" ht="14" customHeight="1" x14ac:dyDescent="0.25">
      <c r="A46" s="151"/>
      <c r="B46" s="8">
        <v>5</v>
      </c>
      <c r="C46" s="8" t="s">
        <v>25</v>
      </c>
      <c r="D46" s="8">
        <f t="shared" ref="D46:E46" si="9">L46-L61</f>
        <v>3.2000000000000011</v>
      </c>
      <c r="E46" s="8">
        <f t="shared" si="9"/>
        <v>3.3000000000000007</v>
      </c>
      <c r="F46" s="36">
        <f t="shared" si="1"/>
        <v>3.1249999999999778E-2</v>
      </c>
      <c r="G46" s="36">
        <f t="shared" si="2"/>
        <v>-3.6972848064702496E-2</v>
      </c>
      <c r="H46" s="36">
        <f t="shared" si="3"/>
        <v>7.2847682119205337E-2</v>
      </c>
      <c r="I46" s="9"/>
      <c r="J46" s="8">
        <v>5</v>
      </c>
      <c r="K46" s="8" t="s">
        <v>25</v>
      </c>
      <c r="L46" s="8">
        <v>13.3</v>
      </c>
      <c r="M46" s="8">
        <v>12.3</v>
      </c>
      <c r="N46" s="36">
        <f t="shared" si="4"/>
        <v>-7.5187969924812026E-2</v>
      </c>
      <c r="O46" s="36">
        <f t="shared" si="5"/>
        <v>0.98884758364312275</v>
      </c>
      <c r="P46" s="36">
        <f t="shared" si="6"/>
        <v>7.5599262446220047E-2</v>
      </c>
      <c r="R46" s="12"/>
      <c r="S46" s="12"/>
      <c r="T46" s="12"/>
      <c r="U46" s="12"/>
      <c r="V46" s="12"/>
      <c r="W46" s="13"/>
      <c r="X46" s="13"/>
      <c r="Y46" s="13"/>
    </row>
    <row r="47" spans="1:32" ht="14" customHeight="1" x14ac:dyDescent="0.25">
      <c r="A47" s="151"/>
      <c r="B47" s="8">
        <v>6</v>
      </c>
      <c r="C47" s="8" t="s">
        <v>912</v>
      </c>
      <c r="D47" s="8">
        <f t="shared" ref="D47:E47" si="10">L47-L62</f>
        <v>2.4000000000000004</v>
      </c>
      <c r="E47" s="8">
        <f t="shared" si="10"/>
        <v>1.7000000000000002</v>
      </c>
      <c r="F47" s="36">
        <f t="shared" si="1"/>
        <v>-0.29166666666666674</v>
      </c>
      <c r="G47" s="36">
        <f t="shared" si="2"/>
        <v>-2.7729636048526869E-2</v>
      </c>
      <c r="H47" s="36">
        <f t="shared" si="3"/>
        <v>3.7527593818984566E-2</v>
      </c>
      <c r="I47" s="9"/>
      <c r="J47" s="8">
        <v>6</v>
      </c>
      <c r="K47" s="8" t="s">
        <v>912</v>
      </c>
      <c r="L47" s="8">
        <v>9.8000000000000007</v>
      </c>
      <c r="M47" s="8">
        <v>7</v>
      </c>
      <c r="N47" s="36">
        <f t="shared" si="4"/>
        <v>-0.28571428571428581</v>
      </c>
      <c r="O47" s="36">
        <f t="shared" si="5"/>
        <v>0.72862453531598526</v>
      </c>
      <c r="P47" s="36">
        <f t="shared" si="6"/>
        <v>4.3023970497848806E-2</v>
      </c>
      <c r="R47" s="12"/>
      <c r="S47" s="12"/>
      <c r="T47" s="12"/>
      <c r="U47" s="12"/>
      <c r="V47" s="12"/>
      <c r="W47" s="13"/>
      <c r="X47" s="13"/>
      <c r="Y47" s="13"/>
    </row>
    <row r="48" spans="1:32" ht="14" customHeight="1" x14ac:dyDescent="0.25">
      <c r="A48" s="151"/>
      <c r="B48" s="8">
        <v>7</v>
      </c>
      <c r="C48" s="8" t="s">
        <v>22</v>
      </c>
      <c r="D48" s="8">
        <f t="shared" ref="D48:E48" si="11">L48-L63</f>
        <v>0.70000000000000018</v>
      </c>
      <c r="E48" s="8">
        <f t="shared" si="11"/>
        <v>2</v>
      </c>
      <c r="F48" s="36">
        <f t="shared" si="1"/>
        <v>1.8571428571428563</v>
      </c>
      <c r="G48" s="36">
        <f t="shared" si="2"/>
        <v>-8.0878105141536701E-3</v>
      </c>
      <c r="H48" s="36">
        <f t="shared" si="3"/>
        <v>4.4150110375275955E-2</v>
      </c>
      <c r="I48" s="9"/>
      <c r="J48" s="8">
        <v>7</v>
      </c>
      <c r="K48" s="8" t="s">
        <v>22</v>
      </c>
      <c r="L48" s="8">
        <v>2.7</v>
      </c>
      <c r="M48" s="8">
        <v>6.1</v>
      </c>
      <c r="N48" s="36">
        <f t="shared" si="4"/>
        <v>1.2592592592592591</v>
      </c>
      <c r="O48" s="36">
        <f t="shared" si="5"/>
        <v>0.20074349442379186</v>
      </c>
      <c r="P48" s="36">
        <f t="shared" si="6"/>
        <v>3.7492317148125384E-2</v>
      </c>
      <c r="R48" s="12"/>
      <c r="S48" s="12"/>
      <c r="T48" s="12"/>
      <c r="U48" s="12"/>
      <c r="V48" s="12"/>
      <c r="W48" s="13"/>
      <c r="X48" s="13"/>
      <c r="Y48" s="13"/>
    </row>
    <row r="49" spans="1:25" ht="14" customHeight="1" x14ac:dyDescent="0.25">
      <c r="A49" s="151"/>
      <c r="B49" s="8">
        <v>8</v>
      </c>
      <c r="C49" s="8" t="s">
        <v>35</v>
      </c>
      <c r="D49" s="8">
        <f t="shared" ref="D49:E49" si="12">L49-L64</f>
        <v>0.7</v>
      </c>
      <c r="E49" s="8">
        <f t="shared" si="12"/>
        <v>1.4000000000000004</v>
      </c>
      <c r="F49" s="36">
        <f t="shared" si="1"/>
        <v>1.0000000000000004</v>
      </c>
      <c r="G49" s="36">
        <f t="shared" si="2"/>
        <v>-8.0878105141536684E-3</v>
      </c>
      <c r="H49" s="36">
        <f t="shared" si="3"/>
        <v>3.0905077262693176E-2</v>
      </c>
      <c r="I49" s="9"/>
      <c r="J49" s="8">
        <v>8</v>
      </c>
      <c r="K49" s="8" t="s">
        <v>35</v>
      </c>
      <c r="L49" s="8">
        <v>2.4</v>
      </c>
      <c r="M49" s="8">
        <v>4.9000000000000004</v>
      </c>
      <c r="N49" s="36">
        <f t="shared" si="4"/>
        <v>1.041666666666667</v>
      </c>
      <c r="O49" s="36">
        <f t="shared" si="5"/>
        <v>0.17843866171003717</v>
      </c>
      <c r="P49" s="36">
        <f t="shared" si="6"/>
        <v>3.0116779348494164E-2</v>
      </c>
      <c r="R49" s="12"/>
      <c r="S49" s="12"/>
      <c r="T49" s="12"/>
      <c r="U49" s="12"/>
      <c r="V49" s="12"/>
      <c r="W49" s="13"/>
      <c r="X49" s="13"/>
      <c r="Y49" s="13"/>
    </row>
    <row r="50" spans="1:25" ht="14" customHeight="1" x14ac:dyDescent="0.25">
      <c r="A50" s="151"/>
      <c r="B50" s="8">
        <v>9</v>
      </c>
      <c r="C50" s="8" t="s">
        <v>21</v>
      </c>
      <c r="D50" s="8">
        <f t="shared" ref="D50:E50" si="13">L50-L65</f>
        <v>0.60000000000000009</v>
      </c>
      <c r="E50" s="8">
        <f t="shared" si="13"/>
        <v>1.1000000000000001</v>
      </c>
      <c r="F50" s="36">
        <f t="shared" si="1"/>
        <v>0.83333333333333326</v>
      </c>
      <c r="G50" s="36">
        <f t="shared" si="2"/>
        <v>-6.9324090121317171E-3</v>
      </c>
      <c r="H50" s="36">
        <f t="shared" si="3"/>
        <v>2.4282560706401776E-2</v>
      </c>
      <c r="I50" s="9"/>
      <c r="J50" s="8">
        <v>9</v>
      </c>
      <c r="K50" s="8" t="s">
        <v>21</v>
      </c>
      <c r="L50" s="8">
        <v>2.2000000000000002</v>
      </c>
      <c r="M50" s="8">
        <v>3.7</v>
      </c>
      <c r="N50" s="36">
        <f t="shared" si="4"/>
        <v>0.68181818181818166</v>
      </c>
      <c r="O50" s="36">
        <f t="shared" si="5"/>
        <v>0.16356877323420077</v>
      </c>
      <c r="P50" s="36">
        <f t="shared" si="6"/>
        <v>2.274124154886294E-2</v>
      </c>
      <c r="R50" s="12"/>
      <c r="S50" s="12"/>
      <c r="T50" s="12"/>
      <c r="U50" s="12"/>
      <c r="V50" s="12"/>
      <c r="W50" s="13"/>
      <c r="X50" s="13"/>
      <c r="Y50" s="13"/>
    </row>
    <row r="51" spans="1:25" ht="14" customHeight="1" x14ac:dyDescent="0.25">
      <c r="A51" s="151"/>
      <c r="B51" s="8">
        <v>10</v>
      </c>
      <c r="C51" s="8" t="s">
        <v>915</v>
      </c>
      <c r="D51" s="8">
        <f t="shared" ref="D51:E51" si="14">L51-L66</f>
        <v>0.5</v>
      </c>
      <c r="E51" s="8">
        <f t="shared" si="14"/>
        <v>0.79999999999999982</v>
      </c>
      <c r="F51" s="36">
        <f t="shared" si="1"/>
        <v>0.59999999999999964</v>
      </c>
      <c r="G51" s="36">
        <f t="shared" si="2"/>
        <v>-5.7770075101097633E-3</v>
      </c>
      <c r="H51" s="36">
        <f t="shared" si="3"/>
        <v>1.7660044150110379E-2</v>
      </c>
      <c r="I51" s="9"/>
      <c r="J51" s="8">
        <v>10</v>
      </c>
      <c r="K51" s="8" t="s">
        <v>915</v>
      </c>
      <c r="L51" s="8">
        <v>1.9</v>
      </c>
      <c r="M51" s="8">
        <v>3.3</v>
      </c>
      <c r="N51" s="36">
        <f t="shared" ref="N51" si="15">M51/L51-1</f>
        <v>0.73684210526315796</v>
      </c>
      <c r="O51" s="36">
        <f t="shared" si="5"/>
        <v>0.14126394052044611</v>
      </c>
      <c r="P51" s="36">
        <f t="shared" si="6"/>
        <v>2.0282728948985865E-2</v>
      </c>
      <c r="R51" s="12"/>
      <c r="S51" s="12"/>
      <c r="T51" s="12"/>
      <c r="U51" s="12"/>
      <c r="V51" s="12"/>
      <c r="W51" s="13"/>
      <c r="X51" s="13"/>
      <c r="Y51" s="13"/>
    </row>
    <row r="52" spans="1:25" ht="14" customHeight="1" x14ac:dyDescent="0.25">
      <c r="A52" s="151"/>
      <c r="B52" s="8"/>
      <c r="C52" s="8" t="s">
        <v>1030</v>
      </c>
      <c r="D52" s="8">
        <f t="shared" ref="D52:E52" si="16">L52-L67</f>
        <v>2.9000000000000004</v>
      </c>
      <c r="E52" s="8">
        <f t="shared" si="16"/>
        <v>4.4000000000000004</v>
      </c>
      <c r="F52" s="36">
        <f t="shared" si="1"/>
        <v>0.51724137931034475</v>
      </c>
      <c r="G52" s="36">
        <f t="shared" si="2"/>
        <v>-3.3506643558636633E-2</v>
      </c>
      <c r="H52" s="36">
        <f t="shared" si="3"/>
        <v>9.7130242825607102E-2</v>
      </c>
      <c r="I52" s="9"/>
      <c r="J52" s="8"/>
      <c r="K52" s="8" t="s">
        <v>1030</v>
      </c>
      <c r="L52" s="8">
        <v>12.5</v>
      </c>
      <c r="M52" s="8">
        <v>14.3</v>
      </c>
      <c r="N52" s="36">
        <f t="shared" si="4"/>
        <v>0.14400000000000013</v>
      </c>
      <c r="O52" s="36">
        <f t="shared" si="5"/>
        <v>0.92936802973977695</v>
      </c>
      <c r="P52" s="36">
        <f t="shared" si="6"/>
        <v>8.789182544560542E-2</v>
      </c>
      <c r="R52" s="12"/>
      <c r="S52" s="12"/>
      <c r="T52" s="12"/>
      <c r="U52" s="12"/>
      <c r="V52" s="12"/>
      <c r="W52" s="13"/>
      <c r="X52" s="13"/>
      <c r="Y52" s="13"/>
    </row>
    <row r="53" spans="1:25" ht="14" customHeight="1" x14ac:dyDescent="0.25">
      <c r="A53" s="151"/>
      <c r="B53" s="8"/>
      <c r="C53" s="8" t="s">
        <v>1031</v>
      </c>
      <c r="D53" s="8">
        <f t="shared" ref="D53:E53" si="17">L53-L68</f>
        <v>-86.55</v>
      </c>
      <c r="E53" s="8">
        <f t="shared" si="17"/>
        <v>45.299999999999983</v>
      </c>
      <c r="F53" s="36">
        <f>E53/D53-1</f>
        <v>-1.5233968804159443</v>
      </c>
      <c r="G53" s="36">
        <f t="shared" si="2"/>
        <v>1</v>
      </c>
      <c r="H53" s="36">
        <f t="shared" si="3"/>
        <v>1</v>
      </c>
      <c r="I53" s="9"/>
      <c r="J53" s="8"/>
      <c r="K53" s="8" t="s">
        <v>1031</v>
      </c>
      <c r="L53" s="8">
        <v>13.45</v>
      </c>
      <c r="M53" s="8">
        <v>162.69999999999999</v>
      </c>
      <c r="N53" s="36">
        <f>M53/L53-1</f>
        <v>11.096654275092936</v>
      </c>
      <c r="O53" s="36">
        <f t="shared" si="5"/>
        <v>1</v>
      </c>
      <c r="P53" s="36">
        <f t="shared" si="6"/>
        <v>1</v>
      </c>
      <c r="R53" s="12"/>
      <c r="S53" s="12"/>
      <c r="T53" s="12"/>
      <c r="U53" s="12"/>
      <c r="V53" s="12"/>
      <c r="W53" s="13"/>
      <c r="X53" s="13"/>
      <c r="Y53" s="13"/>
    </row>
    <row r="54" spans="1:25" ht="15" customHeight="1" x14ac:dyDescent="0.25">
      <c r="A54" s="6"/>
      <c r="B54" s="9"/>
      <c r="K54" s="6"/>
    </row>
    <row r="55" spans="1:25" ht="14" customHeight="1" x14ac:dyDescent="0.25">
      <c r="A55" s="154"/>
      <c r="B55" s="266" t="s">
        <v>1032</v>
      </c>
      <c r="J55" s="266" t="s">
        <v>1033</v>
      </c>
      <c r="K55" s="6"/>
    </row>
    <row r="56" spans="1:25" ht="14" customHeight="1" x14ac:dyDescent="0.25">
      <c r="A56" s="154"/>
      <c r="B56" s="36" t="s">
        <v>582</v>
      </c>
      <c r="C56" s="36" t="s">
        <v>335</v>
      </c>
      <c r="D56" s="140" t="s">
        <v>965</v>
      </c>
      <c r="E56" s="140" t="s">
        <v>966</v>
      </c>
      <c r="F56" s="36" t="s">
        <v>34</v>
      </c>
      <c r="G56" s="36" t="s">
        <v>941</v>
      </c>
      <c r="H56" s="36" t="s">
        <v>942</v>
      </c>
      <c r="I56" s="216"/>
      <c r="J56" s="36" t="s">
        <v>582</v>
      </c>
      <c r="K56" s="36" t="s">
        <v>335</v>
      </c>
      <c r="L56" s="36" t="s">
        <v>962</v>
      </c>
      <c r="M56" s="36" t="s">
        <v>963</v>
      </c>
      <c r="N56" s="36" t="s">
        <v>34</v>
      </c>
      <c r="O56" s="36" t="s">
        <v>908</v>
      </c>
      <c r="P56" s="36" t="s">
        <v>909</v>
      </c>
    </row>
    <row r="57" spans="1:25" ht="14" customHeight="1" x14ac:dyDescent="0.25">
      <c r="A57" s="154"/>
      <c r="B57" s="8">
        <v>1</v>
      </c>
      <c r="C57" s="8" t="s">
        <v>17</v>
      </c>
      <c r="D57" s="8">
        <f>L57-D72</f>
        <v>21.2</v>
      </c>
      <c r="E57" s="8">
        <f>M57-E72</f>
        <v>28.500000000000004</v>
      </c>
      <c r="F57" s="36">
        <f>E57/D57-1</f>
        <v>0.34433962264150964</v>
      </c>
      <c r="G57" s="36">
        <f>D57/D$68</f>
        <v>0.29775280898876405</v>
      </c>
      <c r="H57" s="36">
        <f>E57/E$68</f>
        <v>0.33648170011806378</v>
      </c>
      <c r="I57" s="9"/>
      <c r="J57" s="8">
        <v>1</v>
      </c>
      <c r="K57" s="8" t="s">
        <v>17</v>
      </c>
      <c r="L57" s="8">
        <v>30</v>
      </c>
      <c r="M57" s="8">
        <v>39.700000000000003</v>
      </c>
      <c r="N57" s="36">
        <f>M57/L57-1</f>
        <v>0.32333333333333347</v>
      </c>
      <c r="O57" s="36">
        <f>L57/L$68</f>
        <v>0.3</v>
      </c>
      <c r="P57" s="36">
        <f>M57/M$68</f>
        <v>0.33816013628620101</v>
      </c>
    </row>
    <row r="58" spans="1:25" ht="14" customHeight="1" x14ac:dyDescent="0.25">
      <c r="A58" s="154"/>
      <c r="B58" s="8">
        <v>2</v>
      </c>
      <c r="C58" s="8" t="s">
        <v>20</v>
      </c>
      <c r="D58" s="8">
        <f t="shared" ref="D58:E58" si="18">L58-D73</f>
        <v>15.099999999999998</v>
      </c>
      <c r="E58" s="8">
        <f t="shared" si="18"/>
        <v>15.9</v>
      </c>
      <c r="F58" s="36">
        <f t="shared" ref="F58:F68" si="19">E58/D58-1</f>
        <v>5.2980132450331396E-2</v>
      </c>
      <c r="G58" s="36">
        <f t="shared" ref="G58:G68" si="20">D58/D$68</f>
        <v>0.21207865168539322</v>
      </c>
      <c r="H58" s="36">
        <f t="shared" ref="H58:H68" si="21">E58/E$68</f>
        <v>0.18772136953955135</v>
      </c>
      <c r="I58" s="9"/>
      <c r="J58" s="8">
        <v>2</v>
      </c>
      <c r="K58" s="8" t="s">
        <v>20</v>
      </c>
      <c r="L58" s="8">
        <v>20.399999999999999</v>
      </c>
      <c r="M58" s="8">
        <v>20.3</v>
      </c>
      <c r="N58" s="36">
        <f t="shared" ref="N58:N68" si="22">M58/L58-1</f>
        <v>-4.9019607843135971E-3</v>
      </c>
      <c r="O58" s="36">
        <f t="shared" ref="O58:O68" si="23">L58/L$68</f>
        <v>0.20399999999999999</v>
      </c>
      <c r="P58" s="36">
        <f t="shared" ref="P58:P68" si="24">M58/M$68</f>
        <v>0.17291311754684838</v>
      </c>
    </row>
    <row r="59" spans="1:25" ht="14" customHeight="1" x14ac:dyDescent="0.25">
      <c r="A59" s="154"/>
      <c r="B59" s="8">
        <v>3</v>
      </c>
      <c r="C59" s="8" t="s">
        <v>15</v>
      </c>
      <c r="D59" s="8">
        <f t="shared" ref="D59:E59" si="25">L59-D74</f>
        <v>5</v>
      </c>
      <c r="E59" s="8">
        <f t="shared" si="25"/>
        <v>7.6000000000000005</v>
      </c>
      <c r="F59" s="36">
        <f t="shared" si="19"/>
        <v>0.52</v>
      </c>
      <c r="G59" s="36">
        <f t="shared" si="20"/>
        <v>7.0224719101123587E-2</v>
      </c>
      <c r="H59" s="36">
        <f t="shared" si="21"/>
        <v>8.972845336481701E-2</v>
      </c>
      <c r="I59" s="9"/>
      <c r="J59" s="8">
        <v>3</v>
      </c>
      <c r="K59" s="8" t="s">
        <v>15</v>
      </c>
      <c r="L59" s="8">
        <v>7</v>
      </c>
      <c r="M59" s="8">
        <v>11.3</v>
      </c>
      <c r="N59" s="36">
        <f t="shared" si="22"/>
        <v>0.61428571428571432</v>
      </c>
      <c r="O59" s="36">
        <f t="shared" si="23"/>
        <v>7.0000000000000007E-2</v>
      </c>
      <c r="P59" s="36">
        <f t="shared" si="24"/>
        <v>9.6252129471890976E-2</v>
      </c>
    </row>
    <row r="60" spans="1:25" ht="14" customHeight="1" x14ac:dyDescent="0.25">
      <c r="A60" s="154"/>
      <c r="B60" s="8">
        <v>4</v>
      </c>
      <c r="C60" s="8" t="s">
        <v>18</v>
      </c>
      <c r="D60" s="8">
        <f t="shared" ref="D60:E60" si="26">L60-D75</f>
        <v>6.1999999999999993</v>
      </c>
      <c r="E60" s="8">
        <f t="shared" si="26"/>
        <v>6</v>
      </c>
      <c r="F60" s="36">
        <f t="shared" si="19"/>
        <v>-3.2258064516128893E-2</v>
      </c>
      <c r="G60" s="36">
        <f t="shared" si="20"/>
        <v>8.7078651685393249E-2</v>
      </c>
      <c r="H60" s="36">
        <f t="shared" si="21"/>
        <v>7.0838252656434467E-2</v>
      </c>
      <c r="I60" s="9"/>
      <c r="J60" s="8">
        <v>4</v>
      </c>
      <c r="K60" s="8" t="s">
        <v>18</v>
      </c>
      <c r="L60" s="8">
        <v>8.6999999999999993</v>
      </c>
      <c r="M60" s="8">
        <v>9.1</v>
      </c>
      <c r="N60" s="36">
        <f t="shared" si="22"/>
        <v>4.5977011494252817E-2</v>
      </c>
      <c r="O60" s="36">
        <f t="shared" si="23"/>
        <v>8.6999999999999994E-2</v>
      </c>
      <c r="P60" s="36">
        <f t="shared" si="24"/>
        <v>7.7512776831345817E-2</v>
      </c>
    </row>
    <row r="61" spans="1:25" ht="14" customHeight="1" x14ac:dyDescent="0.25">
      <c r="A61" s="154"/>
      <c r="B61" s="8">
        <v>5</v>
      </c>
      <c r="C61" s="8" t="s">
        <v>25</v>
      </c>
      <c r="D61" s="8">
        <f t="shared" ref="D61:E61" si="27">L61-D76</f>
        <v>7.1999999999999993</v>
      </c>
      <c r="E61" s="8">
        <f t="shared" si="27"/>
        <v>6.7</v>
      </c>
      <c r="F61" s="36">
        <f t="shared" si="19"/>
        <v>-6.9444444444444309E-2</v>
      </c>
      <c r="G61" s="36">
        <f t="shared" si="20"/>
        <v>0.10112359550561796</v>
      </c>
      <c r="H61" s="36">
        <f t="shared" si="21"/>
        <v>7.9102715466351836E-2</v>
      </c>
      <c r="I61" s="9"/>
      <c r="J61" s="8">
        <v>5</v>
      </c>
      <c r="K61" s="8" t="s">
        <v>25</v>
      </c>
      <c r="L61" s="8">
        <v>10.1</v>
      </c>
      <c r="M61" s="8">
        <v>9</v>
      </c>
      <c r="N61" s="36">
        <f t="shared" si="22"/>
        <v>-0.1089108910891089</v>
      </c>
      <c r="O61" s="36">
        <f t="shared" si="23"/>
        <v>0.10099999999999999</v>
      </c>
      <c r="P61" s="36">
        <f t="shared" si="24"/>
        <v>7.6660988074957401E-2</v>
      </c>
    </row>
    <row r="62" spans="1:25" ht="14" customHeight="1" x14ac:dyDescent="0.25">
      <c r="A62" s="154"/>
      <c r="B62" s="8">
        <v>6</v>
      </c>
      <c r="C62" s="8" t="s">
        <v>912</v>
      </c>
      <c r="D62" s="8">
        <f t="shared" ref="D62:E62" si="28">L62-D77</f>
        <v>5.3000000000000007</v>
      </c>
      <c r="E62" s="8">
        <f t="shared" si="28"/>
        <v>3.6999999999999997</v>
      </c>
      <c r="F62" s="36">
        <f t="shared" si="19"/>
        <v>-0.30188679245283034</v>
      </c>
      <c r="G62" s="36">
        <f t="shared" si="20"/>
        <v>7.4438202247191013E-2</v>
      </c>
      <c r="H62" s="36">
        <f t="shared" si="21"/>
        <v>4.3683589138134589E-2</v>
      </c>
      <c r="I62" s="9"/>
      <c r="J62" s="8">
        <v>6</v>
      </c>
      <c r="K62" s="8" t="s">
        <v>912</v>
      </c>
      <c r="L62" s="8">
        <v>7.4</v>
      </c>
      <c r="M62" s="8">
        <v>5.3</v>
      </c>
      <c r="N62" s="36">
        <f t="shared" si="22"/>
        <v>-0.28378378378378388</v>
      </c>
      <c r="O62" s="36">
        <f t="shared" si="23"/>
        <v>7.400000000000001E-2</v>
      </c>
      <c r="P62" s="36">
        <f t="shared" si="24"/>
        <v>4.5144804088586024E-2</v>
      </c>
    </row>
    <row r="63" spans="1:25" ht="14" customHeight="1" x14ac:dyDescent="0.25">
      <c r="A63" s="154"/>
      <c r="B63" s="8">
        <v>7</v>
      </c>
      <c r="C63" s="8" t="s">
        <v>22</v>
      </c>
      <c r="D63" s="8">
        <f t="shared" ref="D63:E63" si="29">L63-D78</f>
        <v>1.3</v>
      </c>
      <c r="E63" s="8">
        <f t="shared" si="29"/>
        <v>2.8999999999999995</v>
      </c>
      <c r="F63" s="36">
        <f t="shared" si="19"/>
        <v>1.2307692307692304</v>
      </c>
      <c r="G63" s="36">
        <f t="shared" si="20"/>
        <v>1.8258426966292134E-2</v>
      </c>
      <c r="H63" s="36">
        <f t="shared" si="21"/>
        <v>3.4238488783943324E-2</v>
      </c>
      <c r="I63" s="9"/>
      <c r="J63" s="8">
        <v>7</v>
      </c>
      <c r="K63" s="8" t="s">
        <v>22</v>
      </c>
      <c r="L63" s="8">
        <v>2</v>
      </c>
      <c r="M63" s="8">
        <v>4.0999999999999996</v>
      </c>
      <c r="N63" s="36">
        <f t="shared" si="22"/>
        <v>1.0499999999999998</v>
      </c>
      <c r="O63" s="36">
        <f t="shared" si="23"/>
        <v>0.02</v>
      </c>
      <c r="P63" s="36">
        <f t="shared" si="24"/>
        <v>3.4923339011925035E-2</v>
      </c>
    </row>
    <row r="64" spans="1:25" ht="14" customHeight="1" x14ac:dyDescent="0.25">
      <c r="A64" s="154"/>
      <c r="B64" s="8">
        <v>8</v>
      </c>
      <c r="C64" s="8" t="s">
        <v>35</v>
      </c>
      <c r="D64" s="8">
        <f t="shared" ref="D64:E64" si="30">L64-D79</f>
        <v>1.2</v>
      </c>
      <c r="E64" s="8">
        <f t="shared" si="30"/>
        <v>2.5</v>
      </c>
      <c r="F64" s="36">
        <f t="shared" si="19"/>
        <v>1.0833333333333335</v>
      </c>
      <c r="G64" s="36">
        <f t="shared" si="20"/>
        <v>1.6853932584269662E-2</v>
      </c>
      <c r="H64" s="36">
        <f t="shared" si="21"/>
        <v>2.9515938606847696E-2</v>
      </c>
      <c r="I64" s="9"/>
      <c r="J64" s="8">
        <v>8</v>
      </c>
      <c r="K64" s="8" t="s">
        <v>35</v>
      </c>
      <c r="L64" s="8">
        <v>1.7</v>
      </c>
      <c r="M64" s="8">
        <v>3.5</v>
      </c>
      <c r="N64" s="36">
        <f t="shared" si="22"/>
        <v>1.0588235294117649</v>
      </c>
      <c r="O64" s="36">
        <f t="shared" si="23"/>
        <v>1.7000000000000001E-2</v>
      </c>
      <c r="P64" s="36">
        <f t="shared" si="24"/>
        <v>2.9812606473594547E-2</v>
      </c>
    </row>
    <row r="65" spans="1:32" ht="14" customHeight="1" x14ac:dyDescent="0.25">
      <c r="A65" s="154"/>
      <c r="B65" s="8">
        <v>9</v>
      </c>
      <c r="C65" s="8" t="s">
        <v>21</v>
      </c>
      <c r="D65" s="8">
        <f t="shared" ref="D65:E65" si="31">L65-D80</f>
        <v>1.1000000000000001</v>
      </c>
      <c r="E65" s="8">
        <f t="shared" si="31"/>
        <v>1.7000000000000002</v>
      </c>
      <c r="F65" s="36">
        <f t="shared" si="19"/>
        <v>0.54545454545454541</v>
      </c>
      <c r="G65" s="36">
        <f t="shared" si="20"/>
        <v>1.5449438202247192E-2</v>
      </c>
      <c r="H65" s="36">
        <f t="shared" si="21"/>
        <v>2.0070838252656435E-2</v>
      </c>
      <c r="I65" s="9"/>
      <c r="J65" s="8">
        <v>9</v>
      </c>
      <c r="K65" s="8" t="s">
        <v>21</v>
      </c>
      <c r="L65" s="8">
        <v>1.6</v>
      </c>
      <c r="M65" s="8">
        <v>2.6</v>
      </c>
      <c r="N65" s="36">
        <f t="shared" si="22"/>
        <v>0.625</v>
      </c>
      <c r="O65" s="36">
        <f t="shared" si="23"/>
        <v>1.6E-2</v>
      </c>
      <c r="P65" s="36">
        <f t="shared" si="24"/>
        <v>2.2146507666098807E-2</v>
      </c>
    </row>
    <row r="66" spans="1:32" ht="14" customHeight="1" x14ac:dyDescent="0.25">
      <c r="A66" s="154"/>
      <c r="B66" s="8">
        <v>10</v>
      </c>
      <c r="C66" s="8" t="s">
        <v>915</v>
      </c>
      <c r="D66" s="8">
        <f t="shared" ref="D66:E66" si="32">L66-D81</f>
        <v>0.99999999999999989</v>
      </c>
      <c r="E66" s="8">
        <f t="shared" si="32"/>
        <v>1.8</v>
      </c>
      <c r="F66" s="36">
        <f t="shared" si="19"/>
        <v>0.80000000000000027</v>
      </c>
      <c r="G66" s="36">
        <f t="shared" si="20"/>
        <v>1.4044943820224717E-2</v>
      </c>
      <c r="H66" s="36">
        <f t="shared" si="21"/>
        <v>2.1251475796930343E-2</v>
      </c>
      <c r="I66" s="9"/>
      <c r="J66" s="8">
        <v>10</v>
      </c>
      <c r="K66" s="8" t="s">
        <v>915</v>
      </c>
      <c r="L66" s="8">
        <v>1.4</v>
      </c>
      <c r="M66" s="8">
        <v>2.5</v>
      </c>
      <c r="N66" s="36">
        <f t="shared" si="22"/>
        <v>0.78571428571428581</v>
      </c>
      <c r="O66" s="36">
        <f t="shared" si="23"/>
        <v>1.3999999999999999E-2</v>
      </c>
      <c r="P66" s="36">
        <f t="shared" si="24"/>
        <v>2.1294718909710391E-2</v>
      </c>
    </row>
    <row r="67" spans="1:32" ht="14" customHeight="1" x14ac:dyDescent="0.25">
      <c r="A67" s="154"/>
      <c r="B67" s="8"/>
      <c r="C67" s="8" t="s">
        <v>77</v>
      </c>
      <c r="D67" s="8">
        <f t="shared" ref="D67:E67" si="33">L67-D82</f>
        <v>6.6</v>
      </c>
      <c r="E67" s="8">
        <f t="shared" si="33"/>
        <v>7.3000000000000007</v>
      </c>
      <c r="F67" s="36">
        <f t="shared" si="19"/>
        <v>0.10606060606060619</v>
      </c>
      <c r="G67" s="36">
        <f t="shared" si="20"/>
        <v>9.2696629213483137E-2</v>
      </c>
      <c r="H67" s="36">
        <f t="shared" si="21"/>
        <v>8.618654073199529E-2</v>
      </c>
      <c r="I67" s="9"/>
      <c r="J67" s="8"/>
      <c r="K67" s="8" t="s">
        <v>77</v>
      </c>
      <c r="L67" s="8">
        <v>9.6</v>
      </c>
      <c r="M67" s="8">
        <v>9.9</v>
      </c>
      <c r="N67" s="36">
        <f t="shared" si="22"/>
        <v>3.125E-2</v>
      </c>
      <c r="O67" s="36">
        <f t="shared" si="23"/>
        <v>9.6000000000000002E-2</v>
      </c>
      <c r="P67" s="36">
        <f t="shared" si="24"/>
        <v>8.4327086882453148E-2</v>
      </c>
    </row>
    <row r="68" spans="1:32" ht="14" customHeight="1" x14ac:dyDescent="0.25">
      <c r="A68" s="154"/>
      <c r="B68" s="8"/>
      <c r="C68" s="8" t="s">
        <v>78</v>
      </c>
      <c r="D68" s="8">
        <f t="shared" ref="D68:E68" si="34">L68-D83</f>
        <v>71.2</v>
      </c>
      <c r="E68" s="8">
        <f t="shared" si="34"/>
        <v>84.7</v>
      </c>
      <c r="F68" s="36">
        <f t="shared" si="19"/>
        <v>0.18960674157303381</v>
      </c>
      <c r="G68" s="36">
        <f t="shared" si="20"/>
        <v>1</v>
      </c>
      <c r="H68" s="36">
        <f t="shared" si="21"/>
        <v>1</v>
      </c>
      <c r="I68" s="9"/>
      <c r="J68" s="8"/>
      <c r="K68" s="8" t="s">
        <v>78</v>
      </c>
      <c r="L68" s="8">
        <v>100</v>
      </c>
      <c r="M68" s="8">
        <v>117.4</v>
      </c>
      <c r="N68" s="36">
        <f t="shared" si="22"/>
        <v>0.17400000000000015</v>
      </c>
      <c r="O68" s="36">
        <f t="shared" si="23"/>
        <v>1</v>
      </c>
      <c r="P68" s="36">
        <f t="shared" si="24"/>
        <v>1</v>
      </c>
    </row>
    <row r="69" spans="1:32" ht="14" customHeight="1" x14ac:dyDescent="0.25">
      <c r="A69" s="154"/>
    </row>
    <row r="70" spans="1:32" ht="14" customHeight="1" x14ac:dyDescent="0.25">
      <c r="A70" s="154"/>
      <c r="B70" s="295" t="s">
        <v>943</v>
      </c>
      <c r="I70"/>
      <c r="J70"/>
      <c r="K70"/>
      <c r="L70"/>
      <c r="M70"/>
      <c r="N70"/>
      <c r="O70"/>
      <c r="P70"/>
    </row>
    <row r="71" spans="1:32" s="216" customFormat="1" ht="14" customHeight="1" x14ac:dyDescent="0.25">
      <c r="A71" s="154"/>
      <c r="B71" s="36" t="s">
        <v>582</v>
      </c>
      <c r="C71" s="36" t="s">
        <v>335</v>
      </c>
      <c r="D71" s="140">
        <v>45658</v>
      </c>
      <c r="E71" s="140">
        <v>46023</v>
      </c>
      <c r="F71" s="36" t="s">
        <v>34</v>
      </c>
      <c r="G71" s="36" t="s">
        <v>908</v>
      </c>
      <c r="H71" s="36" t="s">
        <v>909</v>
      </c>
      <c r="I71"/>
      <c r="J71"/>
      <c r="K71"/>
      <c r="L71"/>
      <c r="M71"/>
      <c r="N71"/>
      <c r="O71"/>
      <c r="P71"/>
      <c r="R71" s="141"/>
      <c r="S71" s="141"/>
      <c r="T71" s="141"/>
      <c r="U71" s="141"/>
      <c r="V71" s="142"/>
      <c r="W71" s="142"/>
      <c r="X71" s="142"/>
      <c r="AA71" s="12"/>
      <c r="AB71" s="12"/>
      <c r="AC71" s="12"/>
      <c r="AD71" s="13"/>
      <c r="AE71" s="13"/>
      <c r="AF71" s="13"/>
    </row>
    <row r="72" spans="1:32" ht="14" customHeight="1" x14ac:dyDescent="0.25">
      <c r="A72" s="151"/>
      <c r="B72" s="8">
        <v>1</v>
      </c>
      <c r="C72" s="8" t="s">
        <v>17</v>
      </c>
      <c r="D72" s="8">
        <v>8.8000000000000007</v>
      </c>
      <c r="E72" s="8">
        <v>11.2</v>
      </c>
      <c r="F72" s="36">
        <f>E72/D72-1</f>
        <v>0.27272727272727249</v>
      </c>
      <c r="G72" s="36">
        <f>D72/D$98</f>
        <v>0.22448979591836743</v>
      </c>
      <c r="H72" s="36">
        <f>E72/E$98</f>
        <v>0.2323651452282158</v>
      </c>
      <c r="I72"/>
      <c r="J72"/>
      <c r="K72"/>
      <c r="L72"/>
      <c r="M72"/>
      <c r="N72"/>
      <c r="O72"/>
      <c r="P72"/>
      <c r="R72" s="12"/>
      <c r="S72" s="12"/>
      <c r="T72" s="12"/>
      <c r="U72" s="12"/>
      <c r="V72" s="12"/>
      <c r="W72" s="13"/>
      <c r="X72" s="13"/>
      <c r="Y72" s="13"/>
    </row>
    <row r="73" spans="1:32" ht="14" customHeight="1" x14ac:dyDescent="0.25">
      <c r="A73" s="151"/>
      <c r="B73" s="8">
        <v>2</v>
      </c>
      <c r="C73" s="8" t="s">
        <v>20</v>
      </c>
      <c r="D73" s="8">
        <v>5.3</v>
      </c>
      <c r="E73" s="8">
        <v>4.4000000000000004</v>
      </c>
      <c r="F73" s="36">
        <f t="shared" ref="F73:F77" si="35">E73/D73-1</f>
        <v>-0.16981132075471683</v>
      </c>
      <c r="G73" s="36">
        <f t="shared" ref="G73:H83" si="36">D73/D$98</f>
        <v>0.1352040816326531</v>
      </c>
      <c r="H73" s="36">
        <f t="shared" si="36"/>
        <v>9.1286307053941931E-2</v>
      </c>
      <c r="I73"/>
      <c r="J73"/>
      <c r="K73"/>
      <c r="L73"/>
      <c r="M73"/>
      <c r="N73"/>
      <c r="O73"/>
      <c r="P73"/>
      <c r="R73" s="12"/>
      <c r="S73" s="12"/>
      <c r="T73" s="12"/>
      <c r="U73" s="12"/>
      <c r="V73" s="12"/>
      <c r="W73" s="13"/>
      <c r="X73" s="13"/>
      <c r="Y73" s="13"/>
    </row>
    <row r="74" spans="1:32" ht="14" customHeight="1" x14ac:dyDescent="0.25">
      <c r="A74" s="151"/>
      <c r="B74" s="8">
        <v>3</v>
      </c>
      <c r="C74" s="8" t="s">
        <v>911</v>
      </c>
      <c r="D74" s="8">
        <v>2</v>
      </c>
      <c r="E74" s="8">
        <v>3.7</v>
      </c>
      <c r="F74" s="36">
        <f t="shared" si="35"/>
        <v>0.85000000000000009</v>
      </c>
      <c r="G74" s="36">
        <f t="shared" si="36"/>
        <v>5.1020408163265321E-2</v>
      </c>
      <c r="H74" s="36">
        <f t="shared" si="36"/>
        <v>7.6763485477178442E-2</v>
      </c>
      <c r="I74"/>
      <c r="J74"/>
      <c r="K74"/>
      <c r="L74"/>
      <c r="M74"/>
      <c r="N74"/>
      <c r="O74"/>
      <c r="P74"/>
      <c r="R74" s="12"/>
      <c r="S74" s="12"/>
      <c r="T74" s="12"/>
      <c r="U74" s="12"/>
      <c r="V74" s="12"/>
      <c r="W74" s="13"/>
      <c r="X74" s="13"/>
      <c r="Y74" s="13"/>
    </row>
    <row r="75" spans="1:32" ht="14" customHeight="1" x14ac:dyDescent="0.25">
      <c r="A75" s="151"/>
      <c r="B75" s="8">
        <v>4</v>
      </c>
      <c r="C75" s="8" t="s">
        <v>18</v>
      </c>
      <c r="D75" s="8">
        <v>2.5</v>
      </c>
      <c r="E75" s="8">
        <v>3.1</v>
      </c>
      <c r="F75" s="36">
        <f t="shared" si="35"/>
        <v>0.24</v>
      </c>
      <c r="G75" s="36">
        <f t="shared" si="36"/>
        <v>6.3775510204081648E-2</v>
      </c>
      <c r="H75" s="36">
        <f t="shared" si="36"/>
        <v>6.4315352697095457E-2</v>
      </c>
      <c r="I75"/>
      <c r="J75"/>
      <c r="K75"/>
      <c r="L75"/>
      <c r="M75"/>
      <c r="N75"/>
      <c r="O75"/>
      <c r="P75"/>
      <c r="R75" s="12"/>
      <c r="S75" s="12"/>
      <c r="T75" s="12"/>
      <c r="U75" s="12"/>
      <c r="V75" s="12"/>
      <c r="W75" s="13"/>
      <c r="X75" s="13"/>
      <c r="Y75" s="13"/>
    </row>
    <row r="76" spans="1:32" ht="14" customHeight="1" x14ac:dyDescent="0.25">
      <c r="A76" s="151"/>
      <c r="B76" s="8">
        <v>5</v>
      </c>
      <c r="C76" s="8" t="s">
        <v>25</v>
      </c>
      <c r="D76" s="8">
        <v>2.9</v>
      </c>
      <c r="E76" s="8">
        <v>2.2999999999999998</v>
      </c>
      <c r="F76" s="36">
        <f t="shared" si="35"/>
        <v>-0.20689655172413801</v>
      </c>
      <c r="G76" s="36">
        <f t="shared" si="36"/>
        <v>7.3979591836734707E-2</v>
      </c>
      <c r="H76" s="36">
        <f t="shared" si="36"/>
        <v>4.7717842323651463E-2</v>
      </c>
      <c r="I76"/>
      <c r="J76"/>
      <c r="K76"/>
      <c r="L76"/>
      <c r="M76"/>
      <c r="N76"/>
      <c r="O76"/>
      <c r="P76"/>
      <c r="R76" s="12"/>
      <c r="S76" s="12"/>
      <c r="T76" s="12"/>
      <c r="U76" s="12"/>
      <c r="V76" s="12"/>
      <c r="W76" s="13"/>
      <c r="X76" s="13"/>
      <c r="Y76" s="13"/>
    </row>
    <row r="77" spans="1:32" ht="14" customHeight="1" x14ac:dyDescent="0.25">
      <c r="A77" s="151"/>
      <c r="B77" s="8">
        <v>6</v>
      </c>
      <c r="C77" s="8" t="s">
        <v>912</v>
      </c>
      <c r="D77" s="8">
        <v>2.1</v>
      </c>
      <c r="E77" s="8">
        <v>1.6</v>
      </c>
      <c r="F77" s="36">
        <f t="shared" si="35"/>
        <v>-0.23809523809523814</v>
      </c>
      <c r="G77" s="36">
        <f t="shared" si="36"/>
        <v>5.3571428571428589E-2</v>
      </c>
      <c r="H77" s="36">
        <f t="shared" si="36"/>
        <v>3.3195020746887974E-2</v>
      </c>
      <c r="I77"/>
      <c r="J77"/>
      <c r="K77"/>
      <c r="L77"/>
      <c r="M77"/>
      <c r="N77"/>
      <c r="O77"/>
      <c r="P77"/>
      <c r="R77" s="12"/>
      <c r="S77" s="12"/>
      <c r="T77" s="12"/>
      <c r="U77" s="12"/>
      <c r="V77" s="12"/>
      <c r="W77" s="13"/>
      <c r="X77" s="13"/>
      <c r="Y77" s="13"/>
    </row>
    <row r="78" spans="1:32" ht="14" customHeight="1" x14ac:dyDescent="0.25">
      <c r="A78" s="151"/>
      <c r="B78" s="8">
        <v>7</v>
      </c>
      <c r="C78" s="8" t="s">
        <v>913</v>
      </c>
      <c r="D78" s="8">
        <v>0.7</v>
      </c>
      <c r="E78" s="8">
        <v>1.2</v>
      </c>
      <c r="F78" s="36">
        <f>E78/D78-1</f>
        <v>0.71428571428571441</v>
      </c>
      <c r="G78" s="36">
        <f t="shared" si="36"/>
        <v>1.785714285714286E-2</v>
      </c>
      <c r="H78" s="36">
        <f t="shared" si="36"/>
        <v>2.489626556016598E-2</v>
      </c>
      <c r="I78"/>
      <c r="J78"/>
      <c r="K78"/>
      <c r="L78"/>
      <c r="M78"/>
      <c r="N78"/>
      <c r="O78"/>
      <c r="P78"/>
      <c r="R78" s="12"/>
      <c r="S78" s="12"/>
      <c r="T78" s="12"/>
      <c r="U78" s="12"/>
      <c r="V78" s="12"/>
      <c r="W78" s="13"/>
      <c r="X78" s="13"/>
      <c r="Y78" s="13"/>
    </row>
    <row r="79" spans="1:32" ht="14" customHeight="1" x14ac:dyDescent="0.25">
      <c r="A79" s="151"/>
      <c r="B79" s="8">
        <v>8</v>
      </c>
      <c r="C79" s="8" t="s">
        <v>35</v>
      </c>
      <c r="D79" s="8">
        <v>0.5</v>
      </c>
      <c r="E79" s="8">
        <v>1</v>
      </c>
      <c r="F79" s="36">
        <f t="shared" ref="F79:F83" si="37">E79/D79-1</f>
        <v>1</v>
      </c>
      <c r="G79" s="36">
        <f t="shared" si="36"/>
        <v>1.275510204081633E-2</v>
      </c>
      <c r="H79" s="36">
        <f t="shared" si="36"/>
        <v>2.0746887966804985E-2</v>
      </c>
      <c r="I79"/>
      <c r="J79"/>
      <c r="K79"/>
      <c r="L79"/>
      <c r="M79"/>
      <c r="N79"/>
      <c r="O79"/>
      <c r="P79"/>
      <c r="R79" s="12"/>
      <c r="S79" s="12"/>
      <c r="T79" s="12"/>
      <c r="U79" s="12"/>
      <c r="V79" s="12"/>
      <c r="W79" s="13"/>
      <c r="X79" s="13"/>
      <c r="Y79" s="13"/>
    </row>
    <row r="80" spans="1:32" ht="14" customHeight="1" x14ac:dyDescent="0.25">
      <c r="A80" s="151"/>
      <c r="B80" s="8">
        <v>9</v>
      </c>
      <c r="C80" s="8" t="s">
        <v>914</v>
      </c>
      <c r="D80" s="8">
        <v>0.5</v>
      </c>
      <c r="E80" s="8">
        <v>0.9</v>
      </c>
      <c r="F80" s="36">
        <f t="shared" si="37"/>
        <v>0.8</v>
      </c>
      <c r="G80" s="36">
        <f t="shared" si="36"/>
        <v>1.275510204081633E-2</v>
      </c>
      <c r="H80" s="36">
        <f t="shared" si="36"/>
        <v>1.8672199170124488E-2</v>
      </c>
      <c r="I80"/>
      <c r="J80"/>
      <c r="K80"/>
      <c r="L80"/>
      <c r="M80"/>
      <c r="N80"/>
      <c r="O80"/>
      <c r="P80"/>
      <c r="R80" s="12"/>
      <c r="S80" s="12"/>
      <c r="T80" s="12"/>
      <c r="U80" s="12"/>
      <c r="V80" s="12"/>
      <c r="W80" s="13"/>
      <c r="X80" s="13"/>
      <c r="Y80" s="13"/>
    </row>
    <row r="81" spans="1:33" ht="14" customHeight="1" x14ac:dyDescent="0.25">
      <c r="A81" s="151"/>
      <c r="B81" s="8">
        <v>10</v>
      </c>
      <c r="C81" s="8" t="s">
        <v>916</v>
      </c>
      <c r="D81" s="8">
        <v>0.4</v>
      </c>
      <c r="E81" s="8">
        <v>0.7</v>
      </c>
      <c r="F81" s="36">
        <f t="shared" si="37"/>
        <v>0.74999999999999978</v>
      </c>
      <c r="G81" s="36">
        <f t="shared" si="36"/>
        <v>1.0204081632653066E-2</v>
      </c>
      <c r="H81" s="36">
        <f t="shared" si="36"/>
        <v>1.4522821576763488E-2</v>
      </c>
      <c r="I81"/>
      <c r="J81"/>
      <c r="K81"/>
      <c r="L81"/>
      <c r="M81"/>
      <c r="N81"/>
      <c r="O81"/>
      <c r="P81"/>
      <c r="R81" s="12"/>
      <c r="S81" s="12"/>
      <c r="T81" s="12"/>
      <c r="U81" s="12"/>
      <c r="V81" s="12"/>
      <c r="W81" s="13"/>
      <c r="X81" s="13"/>
      <c r="Y81" s="13"/>
    </row>
    <row r="82" spans="1:33" ht="14" customHeight="1" x14ac:dyDescent="0.25">
      <c r="A82" s="151"/>
      <c r="B82" s="8"/>
      <c r="C82" s="8" t="s">
        <v>77</v>
      </c>
      <c r="D82" s="8">
        <v>3</v>
      </c>
      <c r="E82" s="8">
        <v>2.6</v>
      </c>
      <c r="F82" s="36">
        <f t="shared" si="37"/>
        <v>-0.1333333333333333</v>
      </c>
      <c r="G82" s="36">
        <f t="shared" si="36"/>
        <v>7.6530612244897975E-2</v>
      </c>
      <c r="H82" s="36">
        <f t="shared" si="36"/>
        <v>5.3941908713692963E-2</v>
      </c>
      <c r="I82"/>
      <c r="J82"/>
      <c r="K82"/>
      <c r="L82"/>
      <c r="M82"/>
      <c r="N82"/>
      <c r="O82"/>
      <c r="P82"/>
      <c r="R82" s="12"/>
      <c r="S82" s="12"/>
      <c r="T82" s="12"/>
      <c r="U82" s="12"/>
      <c r="V82" s="12"/>
      <c r="W82" s="13"/>
      <c r="X82" s="13"/>
      <c r="Y82" s="13"/>
    </row>
    <row r="83" spans="1:33" ht="14" customHeight="1" x14ac:dyDescent="0.25">
      <c r="A83" s="151"/>
      <c r="B83" s="8"/>
      <c r="C83" s="8" t="s">
        <v>78</v>
      </c>
      <c r="D83" s="8">
        <v>28.8</v>
      </c>
      <c r="E83" s="8">
        <v>32.700000000000003</v>
      </c>
      <c r="F83" s="36">
        <f t="shared" si="37"/>
        <v>0.13541666666666674</v>
      </c>
      <c r="G83" s="36">
        <f t="shared" si="36"/>
        <v>0.73469387755102067</v>
      </c>
      <c r="H83" s="36">
        <f t="shared" si="36"/>
        <v>0.67842323651452308</v>
      </c>
      <c r="I83"/>
      <c r="J83"/>
      <c r="K83"/>
      <c r="L83"/>
      <c r="M83"/>
      <c r="N83"/>
      <c r="O83"/>
      <c r="P83"/>
      <c r="R83" s="12"/>
      <c r="S83" s="12"/>
      <c r="T83" s="12"/>
      <c r="U83" s="12"/>
      <c r="V83" s="12"/>
      <c r="W83" s="13"/>
      <c r="X83" s="13"/>
      <c r="Y83" s="13"/>
    </row>
    <row r="84" spans="1:33" ht="14" customHeight="1" x14ac:dyDescent="0.25">
      <c r="A84" s="154"/>
      <c r="B84" s="11"/>
      <c r="J84" s="11"/>
      <c r="K84" s="6"/>
    </row>
    <row r="85" spans="1:33" ht="14" customHeight="1" x14ac:dyDescent="0.25">
      <c r="A85" s="154"/>
      <c r="B85" s="266" t="s">
        <v>887</v>
      </c>
      <c r="J85" s="266" t="s">
        <v>888</v>
      </c>
    </row>
    <row r="86" spans="1:33" s="216" customFormat="1" ht="14" customHeight="1" x14ac:dyDescent="0.25">
      <c r="A86" s="154"/>
      <c r="B86" s="36" t="s">
        <v>582</v>
      </c>
      <c r="C86" s="36" t="s">
        <v>335</v>
      </c>
      <c r="D86" s="140">
        <v>45627</v>
      </c>
      <c r="E86" s="140">
        <v>45992</v>
      </c>
      <c r="F86" s="36" t="s">
        <v>34</v>
      </c>
      <c r="G86" s="36" t="s">
        <v>669</v>
      </c>
      <c r="H86" s="36" t="s">
        <v>670</v>
      </c>
      <c r="J86" s="36" t="s">
        <v>582</v>
      </c>
      <c r="K86" s="36" t="s">
        <v>335</v>
      </c>
      <c r="L86" s="36" t="s">
        <v>885</v>
      </c>
      <c r="M86" s="36" t="s">
        <v>886</v>
      </c>
      <c r="N86" s="36" t="s">
        <v>34</v>
      </c>
      <c r="O86" s="36" t="s">
        <v>669</v>
      </c>
      <c r="P86" s="36" t="s">
        <v>670</v>
      </c>
      <c r="R86" s="141"/>
      <c r="S86" s="141"/>
      <c r="T86" s="141"/>
      <c r="U86" s="141"/>
      <c r="V86" s="142"/>
      <c r="W86" s="142"/>
      <c r="X86" s="142"/>
      <c r="AA86" s="12"/>
      <c r="AB86" s="12"/>
      <c r="AC86" s="12"/>
      <c r="AD86" s="13"/>
      <c r="AE86" s="13"/>
      <c r="AF86" s="13"/>
    </row>
    <row r="87" spans="1:33" ht="14" customHeight="1" x14ac:dyDescent="0.25">
      <c r="A87" s="154"/>
      <c r="B87" s="8">
        <v>1</v>
      </c>
      <c r="C87" s="8" t="s">
        <v>68</v>
      </c>
      <c r="D87" s="8">
        <f>L87-L102</f>
        <v>11.099999999999994</v>
      </c>
      <c r="E87" s="8">
        <f>M87-M102</f>
        <v>17.600000000000009</v>
      </c>
      <c r="F87" s="36">
        <f>E87/D87-1</f>
        <v>0.58558558558558715</v>
      </c>
      <c r="G87" s="36">
        <f>D87/D$98</f>
        <v>0.2831632653061224</v>
      </c>
      <c r="H87" s="36">
        <f>E87/E$98</f>
        <v>0.36514522821576789</v>
      </c>
      <c r="J87" s="8">
        <v>1</v>
      </c>
      <c r="K87" s="8" t="s">
        <v>68</v>
      </c>
      <c r="L87" s="8">
        <v>99.3</v>
      </c>
      <c r="M87" s="8">
        <v>138.80000000000001</v>
      </c>
      <c r="N87" s="36">
        <f>M87/L87-1</f>
        <v>0.39778449144008077</v>
      </c>
      <c r="O87" s="36">
        <f>L87/L$98</f>
        <v>0.27005711177590425</v>
      </c>
      <c r="P87" s="36">
        <f>M87/M$98</f>
        <v>0.29958989855385282</v>
      </c>
      <c r="R87" s="157"/>
      <c r="S87" s="157"/>
      <c r="T87" s="157"/>
      <c r="U87" s="157"/>
      <c r="V87" s="158"/>
      <c r="W87" s="158"/>
      <c r="X87" s="158"/>
      <c r="AA87" s="159"/>
      <c r="AB87" s="159"/>
      <c r="AC87" s="159"/>
      <c r="AD87" s="159"/>
      <c r="AE87" s="160"/>
      <c r="AF87" s="160"/>
      <c r="AG87" s="160"/>
    </row>
    <row r="88" spans="1:33" ht="14" customHeight="1" x14ac:dyDescent="0.25">
      <c r="A88" s="154"/>
      <c r="B88" s="8">
        <v>2</v>
      </c>
      <c r="C88" s="8" t="s">
        <v>127</v>
      </c>
      <c r="D88" s="8">
        <f t="shared" ref="D88:E88" si="38">L88-L103</f>
        <v>9.5</v>
      </c>
      <c r="E88" s="8">
        <f t="shared" si="38"/>
        <v>8.1999999999999886</v>
      </c>
      <c r="F88" s="36">
        <f t="shared" ref="F88:F98" si="39">E88/D88-1</f>
        <v>-0.1368421052631591</v>
      </c>
      <c r="G88" s="36">
        <f t="shared" ref="G88:G98" si="40">D88/D$98</f>
        <v>0.24234693877551028</v>
      </c>
      <c r="H88" s="36">
        <f t="shared" ref="H88:H98" si="41">E88/E$98</f>
        <v>0.17012448132780064</v>
      </c>
      <c r="J88" s="8">
        <v>2</v>
      </c>
      <c r="K88" s="8" t="s">
        <v>127</v>
      </c>
      <c r="L88" s="8">
        <v>90.2</v>
      </c>
      <c r="M88" s="8">
        <v>95.1</v>
      </c>
      <c r="N88" s="36">
        <f t="shared" ref="N88:N98" si="42">M88/L88-1</f>
        <v>5.4323725055432259E-2</v>
      </c>
      <c r="O88" s="36">
        <f t="shared" ref="O88:O98" si="43">L88/L$98</f>
        <v>0.24530867555072072</v>
      </c>
      <c r="P88" s="36">
        <f t="shared" ref="P88:P98" si="44">M88/M$98</f>
        <v>0.20526656593999568</v>
      </c>
      <c r="R88" s="157"/>
      <c r="S88" s="157"/>
      <c r="T88" s="157"/>
      <c r="U88" s="157"/>
      <c r="V88" s="158"/>
      <c r="W88" s="158"/>
      <c r="X88" s="158"/>
      <c r="AA88" s="159"/>
      <c r="AB88" s="159"/>
      <c r="AC88" s="159"/>
      <c r="AD88" s="159"/>
      <c r="AE88" s="160"/>
      <c r="AF88" s="160"/>
      <c r="AG88" s="160"/>
    </row>
    <row r="89" spans="1:33" ht="14" customHeight="1" x14ac:dyDescent="0.25">
      <c r="A89" s="154"/>
      <c r="B89" s="8">
        <v>3</v>
      </c>
      <c r="C89" s="8" t="s">
        <v>25</v>
      </c>
      <c r="D89" s="8">
        <f t="shared" ref="D89:E89" si="45">L89-L104</f>
        <v>4.1000000000000014</v>
      </c>
      <c r="E89" s="8">
        <f t="shared" si="45"/>
        <v>4</v>
      </c>
      <c r="F89" s="36">
        <f t="shared" si="39"/>
        <v>-2.4390243902439379E-2</v>
      </c>
      <c r="G89" s="36">
        <f t="shared" si="40"/>
        <v>0.10459183673469394</v>
      </c>
      <c r="H89" s="36">
        <f t="shared" si="41"/>
        <v>8.2987551867219941E-2</v>
      </c>
      <c r="J89" s="8">
        <v>3</v>
      </c>
      <c r="K89" s="8" t="s">
        <v>25</v>
      </c>
      <c r="L89" s="8">
        <v>39.6</v>
      </c>
      <c r="M89" s="8">
        <v>44.4</v>
      </c>
      <c r="N89" s="36">
        <f t="shared" si="42"/>
        <v>0.1212121212121211</v>
      </c>
      <c r="O89" s="36">
        <f t="shared" si="43"/>
        <v>0.10769649170519446</v>
      </c>
      <c r="P89" s="36">
        <f t="shared" si="44"/>
        <v>9.5834232678609965E-2</v>
      </c>
      <c r="R89" s="157"/>
      <c r="S89" s="157"/>
      <c r="T89" s="157"/>
      <c r="U89" s="157"/>
      <c r="V89" s="158"/>
      <c r="W89" s="158"/>
      <c r="X89" s="158"/>
      <c r="AA89" s="159"/>
      <c r="AB89" s="159"/>
      <c r="AC89" s="159"/>
      <c r="AD89" s="159"/>
      <c r="AE89" s="160"/>
      <c r="AF89" s="160"/>
      <c r="AG89" s="160"/>
    </row>
    <row r="90" spans="1:33" ht="14" customHeight="1" x14ac:dyDescent="0.25">
      <c r="A90" s="154"/>
      <c r="B90" s="8">
        <v>4</v>
      </c>
      <c r="C90" s="8" t="s">
        <v>72</v>
      </c>
      <c r="D90" s="8">
        <f t="shared" ref="D90:E90" si="46">L90-L105</f>
        <v>3.3000000000000007</v>
      </c>
      <c r="E90" s="8">
        <f t="shared" si="46"/>
        <v>5.7000000000000028</v>
      </c>
      <c r="F90" s="36">
        <f t="shared" si="39"/>
        <v>0.72727272727272774</v>
      </c>
      <c r="G90" s="36">
        <f t="shared" si="40"/>
        <v>8.4183673469387793E-2</v>
      </c>
      <c r="H90" s="36">
        <f t="shared" si="41"/>
        <v>0.11825726141078848</v>
      </c>
      <c r="J90" s="8">
        <v>4</v>
      </c>
      <c r="K90" s="8" t="s">
        <v>72</v>
      </c>
      <c r="L90" s="8">
        <v>34.6</v>
      </c>
      <c r="M90" s="8">
        <v>44.2</v>
      </c>
      <c r="N90" s="36">
        <f t="shared" si="42"/>
        <v>0.27745664739884401</v>
      </c>
      <c r="O90" s="36">
        <f t="shared" si="43"/>
        <v>9.4098449823225461E-2</v>
      </c>
      <c r="P90" s="36">
        <f t="shared" si="44"/>
        <v>9.5402546945823438E-2</v>
      </c>
      <c r="R90" s="157"/>
      <c r="S90" s="157"/>
      <c r="T90" s="157"/>
      <c r="U90" s="157"/>
      <c r="V90" s="158"/>
      <c r="W90" s="158"/>
      <c r="X90" s="158"/>
      <c r="AA90" s="159"/>
      <c r="AB90" s="159"/>
      <c r="AC90" s="159"/>
      <c r="AD90" s="159"/>
      <c r="AE90" s="160"/>
      <c r="AF90" s="160"/>
      <c r="AG90" s="160"/>
    </row>
    <row r="91" spans="1:33" ht="14" customHeight="1" x14ac:dyDescent="0.25">
      <c r="A91" s="154"/>
      <c r="B91" s="8">
        <v>5</v>
      </c>
      <c r="C91" s="8" t="s">
        <v>69</v>
      </c>
      <c r="D91" s="8">
        <f t="shared" ref="D91:E91" si="47">L91-L106</f>
        <v>1.7999999999999989</v>
      </c>
      <c r="E91" s="8">
        <f t="shared" si="47"/>
        <v>4.7000000000000028</v>
      </c>
      <c r="F91" s="36">
        <f t="shared" si="39"/>
        <v>1.6111111111111143</v>
      </c>
      <c r="G91" s="36">
        <f t="shared" si="40"/>
        <v>4.5918367346938764E-2</v>
      </c>
      <c r="H91" s="36">
        <f t="shared" si="41"/>
        <v>9.7510373443983486E-2</v>
      </c>
      <c r="J91" s="8">
        <v>5</v>
      </c>
      <c r="K91" s="8" t="s">
        <v>69</v>
      </c>
      <c r="L91" s="8">
        <v>15.2</v>
      </c>
      <c r="M91" s="8">
        <v>36.6</v>
      </c>
      <c r="N91" s="36">
        <f t="shared" si="42"/>
        <v>1.4078947368421053</v>
      </c>
      <c r="O91" s="36">
        <f t="shared" si="43"/>
        <v>4.1338047321185747E-2</v>
      </c>
      <c r="P91" s="36">
        <f t="shared" si="44"/>
        <v>7.8998489099935246E-2</v>
      </c>
      <c r="R91" s="157"/>
      <c r="S91" s="157"/>
      <c r="T91" s="157"/>
      <c r="U91" s="157"/>
      <c r="V91" s="158"/>
      <c r="W91" s="158"/>
      <c r="X91" s="158"/>
      <c r="AA91" s="159"/>
      <c r="AB91" s="159"/>
      <c r="AC91" s="159"/>
      <c r="AD91" s="159"/>
      <c r="AE91" s="160"/>
      <c r="AF91" s="160"/>
      <c r="AG91" s="160"/>
    </row>
    <row r="92" spans="1:33" ht="14" customHeight="1" x14ac:dyDescent="0.25">
      <c r="A92" s="154"/>
      <c r="B92" s="8">
        <v>6</v>
      </c>
      <c r="C92" s="8" t="s">
        <v>128</v>
      </c>
      <c r="D92" s="8">
        <f t="shared" ref="D92:E92" si="48">L92-L107</f>
        <v>2.5</v>
      </c>
      <c r="E92" s="8">
        <f t="shared" si="48"/>
        <v>1.7999999999999972</v>
      </c>
      <c r="F92" s="36">
        <f t="shared" si="39"/>
        <v>-0.28000000000000114</v>
      </c>
      <c r="G92" s="36">
        <f t="shared" si="40"/>
        <v>6.3775510204081648E-2</v>
      </c>
      <c r="H92" s="36">
        <f t="shared" si="41"/>
        <v>3.7344398340248913E-2</v>
      </c>
      <c r="J92" s="8">
        <v>6</v>
      </c>
      <c r="K92" s="8" t="s">
        <v>128</v>
      </c>
      <c r="L92" s="8">
        <v>31</v>
      </c>
      <c r="M92" s="8">
        <v>28.9</v>
      </c>
      <c r="N92" s="36">
        <f t="shared" si="42"/>
        <v>-6.7741935483870974E-2</v>
      </c>
      <c r="O92" s="36">
        <f t="shared" si="43"/>
        <v>8.430785966820778E-2</v>
      </c>
      <c r="P92" s="36">
        <f t="shared" si="44"/>
        <v>6.2378588387653783E-2</v>
      </c>
      <c r="R92" s="157"/>
      <c r="S92" s="157"/>
      <c r="T92" s="157"/>
      <c r="U92" s="157"/>
      <c r="V92" s="158"/>
      <c r="W92" s="158"/>
      <c r="X92" s="158"/>
      <c r="AA92" s="159"/>
      <c r="AB92" s="159"/>
      <c r="AC92" s="159"/>
      <c r="AD92" s="159"/>
      <c r="AE92" s="160"/>
      <c r="AF92" s="160"/>
      <c r="AG92" s="160"/>
    </row>
    <row r="93" spans="1:33" ht="14" customHeight="1" x14ac:dyDescent="0.25">
      <c r="A93" s="154"/>
      <c r="B93" s="8">
        <v>7</v>
      </c>
      <c r="C93" s="8" t="s">
        <v>357</v>
      </c>
      <c r="D93" s="8">
        <f t="shared" ref="D93:E93" si="49">L93-L108</f>
        <v>1</v>
      </c>
      <c r="E93" s="8">
        <f t="shared" si="49"/>
        <v>2.5</v>
      </c>
      <c r="F93" s="36">
        <f t="shared" si="39"/>
        <v>1.5</v>
      </c>
      <c r="G93" s="36">
        <f t="shared" si="40"/>
        <v>2.5510204081632661E-2</v>
      </c>
      <c r="H93" s="36">
        <f t="shared" si="41"/>
        <v>5.1867219917012458E-2</v>
      </c>
      <c r="J93" s="8">
        <v>7</v>
      </c>
      <c r="K93" s="8" t="s">
        <v>70</v>
      </c>
      <c r="L93" s="8">
        <v>7.2</v>
      </c>
      <c r="M93" s="8">
        <v>12.8</v>
      </c>
      <c r="N93" s="36">
        <f t="shared" si="42"/>
        <v>0.7777777777777779</v>
      </c>
      <c r="O93" s="36">
        <f t="shared" si="43"/>
        <v>1.9581180310035355E-2</v>
      </c>
      <c r="P93" s="36">
        <f t="shared" si="44"/>
        <v>2.7627886898338012E-2</v>
      </c>
      <c r="R93" s="157"/>
      <c r="S93" s="157"/>
      <c r="T93" s="157"/>
      <c r="U93" s="157"/>
      <c r="V93" s="158"/>
      <c r="W93" s="158"/>
      <c r="X93" s="158"/>
      <c r="AA93" s="159"/>
      <c r="AB93" s="159"/>
      <c r="AC93" s="159"/>
      <c r="AD93" s="159"/>
      <c r="AE93" s="160"/>
      <c r="AF93" s="160"/>
      <c r="AG93" s="160"/>
    </row>
    <row r="94" spans="1:33" ht="14" customHeight="1" x14ac:dyDescent="0.25">
      <c r="A94" s="154"/>
      <c r="B94" s="8">
        <v>8</v>
      </c>
      <c r="C94" s="8" t="s">
        <v>74</v>
      </c>
      <c r="D94" s="8">
        <f t="shared" ref="D94:E94" si="50">L94-L109</f>
        <v>0.79999999999999982</v>
      </c>
      <c r="E94" s="8">
        <f t="shared" si="50"/>
        <v>1.1999999999999993</v>
      </c>
      <c r="F94" s="36">
        <f t="shared" si="39"/>
        <v>0.49999999999999933</v>
      </c>
      <c r="G94" s="36">
        <f t="shared" si="40"/>
        <v>2.0408163265306124E-2</v>
      </c>
      <c r="H94" s="36">
        <f t="shared" si="41"/>
        <v>2.4896265560165966E-2</v>
      </c>
      <c r="J94" s="8">
        <v>8</v>
      </c>
      <c r="K94" s="8" t="s">
        <v>357</v>
      </c>
      <c r="L94" s="8">
        <v>7.5</v>
      </c>
      <c r="M94" s="8">
        <v>10.199999999999999</v>
      </c>
      <c r="N94" s="36">
        <f t="shared" si="42"/>
        <v>0.35999999999999988</v>
      </c>
      <c r="O94" s="36">
        <f t="shared" si="43"/>
        <v>2.0397062822953494E-2</v>
      </c>
      <c r="P94" s="36">
        <f t="shared" si="44"/>
        <v>2.2015972372113099E-2</v>
      </c>
      <c r="R94" s="157"/>
      <c r="S94" s="157"/>
      <c r="T94" s="157"/>
      <c r="U94" s="157"/>
      <c r="V94" s="158"/>
      <c r="W94" s="158"/>
      <c r="X94" s="158"/>
      <c r="AA94" s="159"/>
      <c r="AB94" s="159"/>
      <c r="AC94" s="159"/>
      <c r="AD94" s="159"/>
      <c r="AE94" s="160"/>
      <c r="AF94" s="160"/>
      <c r="AG94" s="160"/>
    </row>
    <row r="95" spans="1:33" ht="14" customHeight="1" x14ac:dyDescent="0.25">
      <c r="A95" s="154"/>
      <c r="B95" s="8">
        <v>9</v>
      </c>
      <c r="C95" s="8" t="s">
        <v>70</v>
      </c>
      <c r="D95" s="8">
        <f t="shared" ref="D95:E95" si="51">L95-L110</f>
        <v>0.5</v>
      </c>
      <c r="E95" s="8">
        <f t="shared" si="51"/>
        <v>1.3000000000000007</v>
      </c>
      <c r="F95" s="36">
        <f t="shared" si="39"/>
        <v>1.6000000000000014</v>
      </c>
      <c r="G95" s="36">
        <f t="shared" si="40"/>
        <v>1.275510204081633E-2</v>
      </c>
      <c r="H95" s="36">
        <f t="shared" si="41"/>
        <v>2.6970954356846495E-2</v>
      </c>
      <c r="J95" s="8">
        <v>9</v>
      </c>
      <c r="K95" s="8" t="s">
        <v>74</v>
      </c>
      <c r="L95" s="8">
        <v>2.6</v>
      </c>
      <c r="M95" s="8">
        <v>10</v>
      </c>
      <c r="N95" s="36">
        <f t="shared" si="42"/>
        <v>2.8461538461538458</v>
      </c>
      <c r="O95" s="36">
        <f t="shared" si="43"/>
        <v>7.0709817786238785E-3</v>
      </c>
      <c r="P95" s="36">
        <f t="shared" si="44"/>
        <v>2.1584286639326569E-2</v>
      </c>
      <c r="R95" s="157"/>
      <c r="S95" s="157"/>
      <c r="T95" s="157"/>
      <c r="U95" s="157"/>
      <c r="V95" s="158"/>
      <c r="W95" s="158"/>
      <c r="X95" s="158"/>
      <c r="AA95" s="159"/>
      <c r="AB95" s="159"/>
      <c r="AC95" s="159"/>
      <c r="AD95" s="159"/>
      <c r="AE95" s="160"/>
      <c r="AF95" s="160"/>
      <c r="AG95" s="160"/>
    </row>
    <row r="96" spans="1:33" ht="14" customHeight="1" x14ac:dyDescent="0.25">
      <c r="A96" s="154"/>
      <c r="B96" s="8">
        <v>10</v>
      </c>
      <c r="C96" s="267" t="s">
        <v>889</v>
      </c>
      <c r="D96" s="8" t="s">
        <v>889</v>
      </c>
      <c r="E96" s="8" t="s">
        <v>889</v>
      </c>
      <c r="F96" s="8" t="s">
        <v>889</v>
      </c>
      <c r="G96" s="8" t="s">
        <v>889</v>
      </c>
      <c r="H96" s="8" t="s">
        <v>889</v>
      </c>
      <c r="J96" s="8">
        <v>10</v>
      </c>
      <c r="K96" s="267" t="s">
        <v>876</v>
      </c>
      <c r="L96" s="8">
        <v>6.7</v>
      </c>
      <c r="M96" s="8">
        <v>9.6</v>
      </c>
      <c r="N96" s="36">
        <f t="shared" si="42"/>
        <v>0.43283582089552231</v>
      </c>
      <c r="O96" s="36">
        <f t="shared" si="43"/>
        <v>1.8221376121838457E-2</v>
      </c>
      <c r="P96" s="36">
        <f t="shared" si="44"/>
        <v>2.0720915173753508E-2</v>
      </c>
      <c r="R96" s="157"/>
      <c r="S96" s="157"/>
      <c r="T96" s="157"/>
      <c r="U96" s="157"/>
      <c r="V96" s="158"/>
      <c r="W96" s="158"/>
      <c r="X96" s="158"/>
      <c r="AA96" s="159"/>
      <c r="AB96" s="159"/>
      <c r="AC96" s="159"/>
      <c r="AD96" s="159"/>
      <c r="AE96" s="160"/>
      <c r="AF96" s="160"/>
      <c r="AG96" s="160"/>
    </row>
    <row r="97" spans="1:33" ht="14" customHeight="1" x14ac:dyDescent="0.25">
      <c r="A97" s="154"/>
      <c r="B97" s="8"/>
      <c r="C97" s="8" t="s">
        <v>77</v>
      </c>
      <c r="D97" s="8">
        <f t="shared" ref="D97:E97" si="52">L97-L112</f>
        <v>4.5000000000000036</v>
      </c>
      <c r="E97" s="8">
        <f t="shared" si="52"/>
        <v>-0.59999999999999432</v>
      </c>
      <c r="F97" s="36">
        <f t="shared" si="39"/>
        <v>-1.133333333333332</v>
      </c>
      <c r="G97" s="36">
        <f t="shared" si="40"/>
        <v>0.11479591836734707</v>
      </c>
      <c r="H97" s="36">
        <f t="shared" si="41"/>
        <v>-1.2448132780082872E-2</v>
      </c>
      <c r="J97" s="8"/>
      <c r="K97" s="8" t="s">
        <v>77</v>
      </c>
      <c r="L97" s="8">
        <v>33.700000000000003</v>
      </c>
      <c r="M97" s="8">
        <v>32.700000000000003</v>
      </c>
      <c r="N97" s="36">
        <f t="shared" si="42"/>
        <v>-2.9673590504451064E-2</v>
      </c>
      <c r="O97" s="36">
        <f t="shared" si="43"/>
        <v>9.1650802284471047E-2</v>
      </c>
      <c r="P97" s="36">
        <f t="shared" si="44"/>
        <v>7.0580617310597893E-2</v>
      </c>
      <c r="R97" s="157"/>
      <c r="S97" s="157"/>
      <c r="T97" s="157"/>
      <c r="U97" s="157"/>
      <c r="V97" s="158"/>
      <c r="W97" s="158"/>
      <c r="X97" s="158"/>
    </row>
    <row r="98" spans="1:33" ht="14" customHeight="1" x14ac:dyDescent="0.25">
      <c r="A98" s="154"/>
      <c r="B98" s="8"/>
      <c r="C98" s="8" t="s">
        <v>78</v>
      </c>
      <c r="D98" s="8">
        <f t="shared" ref="D98:E98" si="53">L98-L113</f>
        <v>39.199999999999989</v>
      </c>
      <c r="E98" s="8">
        <f t="shared" si="53"/>
        <v>48.199999999999989</v>
      </c>
      <c r="F98" s="36">
        <f t="shared" si="39"/>
        <v>0.22959183673469385</v>
      </c>
      <c r="G98" s="36">
        <f t="shared" si="40"/>
        <v>1</v>
      </c>
      <c r="H98" s="36">
        <f t="shared" si="41"/>
        <v>1</v>
      </c>
      <c r="J98" s="8"/>
      <c r="K98" s="8" t="s">
        <v>78</v>
      </c>
      <c r="L98" s="8">
        <v>367.7</v>
      </c>
      <c r="M98" s="8">
        <v>463.3</v>
      </c>
      <c r="N98" s="36">
        <f t="shared" si="42"/>
        <v>0.25999456078324723</v>
      </c>
      <c r="O98" s="36">
        <f t="shared" si="43"/>
        <v>1</v>
      </c>
      <c r="P98" s="36">
        <f t="shared" si="44"/>
        <v>1</v>
      </c>
      <c r="R98" s="159"/>
    </row>
    <row r="99" spans="1:33" ht="14" customHeight="1" x14ac:dyDescent="0.25">
      <c r="A99" s="154"/>
      <c r="B99" s="10"/>
      <c r="J99" s="10"/>
    </row>
    <row r="100" spans="1:33" ht="14" customHeight="1" x14ac:dyDescent="0.25">
      <c r="A100" s="154"/>
      <c r="B100" s="10" t="s">
        <v>706</v>
      </c>
      <c r="J100" s="10" t="s">
        <v>707</v>
      </c>
    </row>
    <row r="101" spans="1:33" ht="14" customHeight="1" x14ac:dyDescent="0.25">
      <c r="A101" s="154"/>
      <c r="B101" s="36" t="s">
        <v>582</v>
      </c>
      <c r="C101" s="36" t="s">
        <v>335</v>
      </c>
      <c r="D101" s="140">
        <v>45597</v>
      </c>
      <c r="E101" s="140">
        <v>45962</v>
      </c>
      <c r="F101" s="36" t="s">
        <v>34</v>
      </c>
      <c r="G101" s="36" t="s">
        <v>669</v>
      </c>
      <c r="H101" s="36" t="s">
        <v>670</v>
      </c>
      <c r="J101" s="36" t="s">
        <v>582</v>
      </c>
      <c r="K101" s="36" t="s">
        <v>335</v>
      </c>
      <c r="L101" s="36" t="s">
        <v>671</v>
      </c>
      <c r="M101" s="36" t="s">
        <v>672</v>
      </c>
      <c r="N101" s="36" t="s">
        <v>34</v>
      </c>
      <c r="O101" s="36" t="s">
        <v>669</v>
      </c>
      <c r="P101" s="36" t="s">
        <v>670</v>
      </c>
      <c r="R101" s="157"/>
      <c r="S101" s="157"/>
      <c r="T101" s="157"/>
      <c r="U101" s="157"/>
      <c r="V101" s="158"/>
      <c r="W101" s="158"/>
      <c r="X101" s="158"/>
      <c r="AA101" s="159"/>
      <c r="AB101" s="159"/>
      <c r="AC101" s="159"/>
      <c r="AD101" s="160"/>
      <c r="AE101" s="160"/>
      <c r="AF101" s="160"/>
    </row>
    <row r="102" spans="1:33" ht="14" customHeight="1" x14ac:dyDescent="0.25">
      <c r="A102" s="154"/>
      <c r="B102" s="8">
        <v>1</v>
      </c>
      <c r="C102" s="8" t="s">
        <v>68</v>
      </c>
      <c r="D102" s="8">
        <v>8.2000000000000028</v>
      </c>
      <c r="E102" s="8">
        <v>11.100000000000009</v>
      </c>
      <c r="F102" s="36">
        <f>E102/D102-1</f>
        <v>0.35365853658536639</v>
      </c>
      <c r="G102" s="36">
        <f t="shared" ref="G102:G112" si="54">D102/D$113</f>
        <v>0.23563218390804599</v>
      </c>
      <c r="H102" s="36">
        <f t="shared" ref="H102:H104" si="55">E102/E$113</f>
        <v>0.29521276595744683</v>
      </c>
      <c r="J102" s="8">
        <v>1</v>
      </c>
      <c r="K102" s="8" t="s">
        <v>68</v>
      </c>
      <c r="L102" s="8">
        <v>88.2</v>
      </c>
      <c r="M102" s="8">
        <v>121.2</v>
      </c>
      <c r="N102" s="36">
        <f>M102/L102-1</f>
        <v>0.37414965986394555</v>
      </c>
      <c r="O102" s="36">
        <f t="shared" ref="O102:O112" si="56">L102/L$113</f>
        <v>0.26849315068493151</v>
      </c>
      <c r="P102" s="36">
        <f t="shared" ref="P102:P112" si="57">M102/M$113</f>
        <v>0.29197783666586363</v>
      </c>
      <c r="R102" s="157"/>
      <c r="S102" s="157"/>
      <c r="T102" s="157"/>
      <c r="U102" s="157"/>
      <c r="V102" s="158"/>
      <c r="W102" s="158"/>
      <c r="X102" s="158"/>
      <c r="AA102" s="159"/>
      <c r="AB102" s="159"/>
      <c r="AC102" s="159"/>
      <c r="AD102" s="159"/>
      <c r="AE102" s="160"/>
      <c r="AF102" s="160"/>
      <c r="AG102" s="160"/>
    </row>
    <row r="103" spans="1:33" ht="14" customHeight="1" x14ac:dyDescent="0.25">
      <c r="A103" s="154"/>
      <c r="B103" s="8">
        <v>2</v>
      </c>
      <c r="C103" s="8" t="s">
        <v>127</v>
      </c>
      <c r="D103" s="8">
        <v>9.6000000000000085</v>
      </c>
      <c r="E103" s="8">
        <v>7.7000000000000028</v>
      </c>
      <c r="F103" s="36">
        <f t="shared" ref="F103:F113" si="58">E103/D103-1</f>
        <v>-0.19791666666666707</v>
      </c>
      <c r="G103" s="36">
        <f t="shared" si="54"/>
        <v>0.2758620689655174</v>
      </c>
      <c r="H103" s="36">
        <f t="shared" si="55"/>
        <v>0.20478723404255314</v>
      </c>
      <c r="J103" s="8">
        <v>2</v>
      </c>
      <c r="K103" s="8" t="s">
        <v>127</v>
      </c>
      <c r="L103" s="8">
        <v>80.7</v>
      </c>
      <c r="M103" s="8">
        <v>86.9</v>
      </c>
      <c r="N103" s="36">
        <f t="shared" ref="N103:N112" si="59">M103/L103-1</f>
        <v>7.6827757125154994E-2</v>
      </c>
      <c r="O103" s="36">
        <f t="shared" si="56"/>
        <v>0.24566210045662101</v>
      </c>
      <c r="P103" s="36">
        <f t="shared" si="57"/>
        <v>0.20934714526620091</v>
      </c>
      <c r="R103" s="157"/>
      <c r="S103" s="157"/>
      <c r="T103" s="157"/>
      <c r="U103" s="157"/>
      <c r="V103" s="158"/>
      <c r="W103" s="158"/>
      <c r="X103" s="158"/>
      <c r="AA103" s="159"/>
      <c r="AB103" s="159"/>
      <c r="AC103" s="159"/>
      <c r="AD103" s="159"/>
      <c r="AE103" s="160"/>
      <c r="AF103" s="160"/>
      <c r="AG103" s="160"/>
    </row>
    <row r="104" spans="1:33" ht="14" customHeight="1" x14ac:dyDescent="0.25">
      <c r="A104" s="154"/>
      <c r="B104" s="8">
        <v>3</v>
      </c>
      <c r="C104" s="8" t="s">
        <v>25</v>
      </c>
      <c r="D104" s="8">
        <v>4</v>
      </c>
      <c r="E104" s="8">
        <v>2.8999999999999986</v>
      </c>
      <c r="F104" s="36">
        <f t="shared" si="58"/>
        <v>-0.27500000000000036</v>
      </c>
      <c r="G104" s="36">
        <f t="shared" si="54"/>
        <v>0.11494252873563214</v>
      </c>
      <c r="H104" s="36">
        <f t="shared" si="55"/>
        <v>7.7127659574468002E-2</v>
      </c>
      <c r="J104" s="8">
        <v>3</v>
      </c>
      <c r="K104" s="8" t="s">
        <v>25</v>
      </c>
      <c r="L104" s="8">
        <v>35.5</v>
      </c>
      <c r="M104" s="8">
        <v>40.4</v>
      </c>
      <c r="N104" s="36">
        <f t="shared" si="59"/>
        <v>0.13802816901408455</v>
      </c>
      <c r="O104" s="36">
        <f t="shared" si="56"/>
        <v>0.1080669710806697</v>
      </c>
      <c r="P104" s="36">
        <f>M104/M$113</f>
        <v>9.7325945555287868E-2</v>
      </c>
      <c r="R104" s="157"/>
      <c r="S104" s="157"/>
      <c r="T104" s="157"/>
      <c r="U104" s="157"/>
      <c r="V104" s="158"/>
      <c r="W104" s="158"/>
      <c r="X104" s="158"/>
      <c r="AA104" s="159"/>
      <c r="AB104" s="159"/>
      <c r="AC104" s="159"/>
      <c r="AD104" s="159"/>
      <c r="AE104" s="160"/>
      <c r="AF104" s="160"/>
      <c r="AG104" s="160"/>
    </row>
    <row r="105" spans="1:33" ht="14" customHeight="1" x14ac:dyDescent="0.25">
      <c r="A105" s="154"/>
      <c r="B105" s="8">
        <v>4</v>
      </c>
      <c r="C105" s="8" t="s">
        <v>72</v>
      </c>
      <c r="D105" s="8">
        <v>3</v>
      </c>
      <c r="E105" s="8">
        <v>2.6000000000000014</v>
      </c>
      <c r="F105" s="36">
        <f t="shared" si="58"/>
        <v>-0.13333333333333286</v>
      </c>
      <c r="G105" s="36">
        <f t="shared" si="54"/>
        <v>8.6206896551724116E-2</v>
      </c>
      <c r="H105" s="36">
        <f>E105/E$113</f>
        <v>6.9148936170212769E-2</v>
      </c>
      <c r="J105" s="8">
        <v>4</v>
      </c>
      <c r="K105" s="8" t="s">
        <v>72</v>
      </c>
      <c r="L105" s="8">
        <v>31.3</v>
      </c>
      <c r="M105" s="8">
        <v>38.5</v>
      </c>
      <c r="N105" s="36">
        <f t="shared" si="59"/>
        <v>0.23003194888178902</v>
      </c>
      <c r="O105" s="36">
        <f t="shared" si="56"/>
        <v>9.528158295281583E-2</v>
      </c>
      <c r="P105" s="36">
        <f>M105/M$113</f>
        <v>9.274873524451939E-2</v>
      </c>
      <c r="R105" s="157"/>
      <c r="S105" s="157"/>
      <c r="T105" s="157"/>
      <c r="U105" s="157"/>
      <c r="V105" s="158"/>
      <c r="W105" s="158"/>
      <c r="X105" s="158"/>
      <c r="AA105" s="159"/>
      <c r="AB105" s="159"/>
      <c r="AC105" s="159"/>
      <c r="AD105" s="159"/>
      <c r="AE105" s="160"/>
      <c r="AF105" s="160"/>
      <c r="AG105" s="160"/>
    </row>
    <row r="106" spans="1:33" ht="14" customHeight="1" x14ac:dyDescent="0.25">
      <c r="A106" s="154"/>
      <c r="B106" s="8">
        <v>5</v>
      </c>
      <c r="C106" s="8" t="s">
        <v>69</v>
      </c>
      <c r="D106" s="8">
        <v>1.5</v>
      </c>
      <c r="E106" s="8">
        <v>3.1999999999999993</v>
      </c>
      <c r="F106" s="36">
        <f t="shared" si="58"/>
        <v>1.1333333333333329</v>
      </c>
      <c r="G106" s="36">
        <f t="shared" si="54"/>
        <v>4.3103448275862058E-2</v>
      </c>
      <c r="H106" s="36">
        <f t="shared" ref="H106:H112" si="60">E106/E$113</f>
        <v>8.5106382978723333E-2</v>
      </c>
      <c r="J106" s="8">
        <v>5</v>
      </c>
      <c r="K106" s="8" t="s">
        <v>69</v>
      </c>
      <c r="L106" s="8">
        <v>13.4</v>
      </c>
      <c r="M106" s="8">
        <v>31.9</v>
      </c>
      <c r="N106" s="36">
        <f t="shared" si="59"/>
        <v>1.3805970149253728</v>
      </c>
      <c r="O106" s="36">
        <f>L106/L$113</f>
        <v>4.0791476407914765E-2</v>
      </c>
      <c r="P106" s="36">
        <f t="shared" si="57"/>
        <v>7.6848952059744638E-2</v>
      </c>
      <c r="R106" s="157"/>
      <c r="S106" s="157"/>
      <c r="T106" s="157"/>
      <c r="U106" s="157"/>
      <c r="V106" s="158"/>
      <c r="W106" s="158"/>
      <c r="X106" s="158"/>
      <c r="AA106" s="159"/>
      <c r="AB106" s="159"/>
      <c r="AC106" s="159"/>
      <c r="AD106" s="159"/>
      <c r="AE106" s="160"/>
      <c r="AF106" s="160"/>
      <c r="AG106" s="160"/>
    </row>
    <row r="107" spans="1:33" ht="14" customHeight="1" x14ac:dyDescent="0.25">
      <c r="A107" s="154"/>
      <c r="B107" s="8">
        <v>6</v>
      </c>
      <c r="C107" s="8" t="s">
        <v>128</v>
      </c>
      <c r="D107" s="8">
        <v>2.1999999999999993</v>
      </c>
      <c r="E107" s="8">
        <v>2</v>
      </c>
      <c r="F107" s="36">
        <f t="shared" si="58"/>
        <v>-9.0909090909090606E-2</v>
      </c>
      <c r="G107" s="36">
        <f t="shared" si="54"/>
        <v>6.3218390804597666E-2</v>
      </c>
      <c r="H107" s="36">
        <f t="shared" si="60"/>
        <v>5.3191489361702093E-2</v>
      </c>
      <c r="J107" s="8">
        <v>6</v>
      </c>
      <c r="K107" s="8" t="s">
        <v>128</v>
      </c>
      <c r="L107" s="8">
        <v>28.5</v>
      </c>
      <c r="M107" s="8">
        <v>27.1</v>
      </c>
      <c r="N107" s="36">
        <f t="shared" si="59"/>
        <v>-4.912280701754379E-2</v>
      </c>
      <c r="O107" s="36">
        <f t="shared" si="56"/>
        <v>8.6757990867579904E-2</v>
      </c>
      <c r="P107" s="36">
        <f t="shared" si="57"/>
        <v>6.5285473379908462E-2</v>
      </c>
      <c r="R107" s="157"/>
      <c r="S107" s="157"/>
      <c r="T107" s="157"/>
      <c r="U107" s="157"/>
      <c r="V107" s="158"/>
      <c r="W107" s="158"/>
      <c r="X107" s="158"/>
      <c r="AA107" s="159"/>
      <c r="AB107" s="159"/>
      <c r="AC107" s="159"/>
      <c r="AD107" s="159"/>
      <c r="AE107" s="160"/>
      <c r="AF107" s="160"/>
      <c r="AG107" s="160"/>
    </row>
    <row r="108" spans="1:33" ht="14" customHeight="1" x14ac:dyDescent="0.25">
      <c r="A108" s="154"/>
      <c r="B108" s="8">
        <v>7</v>
      </c>
      <c r="C108" s="8" t="s">
        <v>357</v>
      </c>
      <c r="D108" s="8">
        <v>0.79999999999999982</v>
      </c>
      <c r="E108" s="8">
        <v>0.90000000000000036</v>
      </c>
      <c r="F108" s="36">
        <f t="shared" si="58"/>
        <v>0.12500000000000067</v>
      </c>
      <c r="G108" s="36">
        <f t="shared" si="54"/>
        <v>2.2988505747126423E-2</v>
      </c>
      <c r="H108" s="36">
        <f t="shared" si="60"/>
        <v>2.3936170212765954E-2</v>
      </c>
      <c r="J108" s="8">
        <v>7</v>
      </c>
      <c r="K108" s="8" t="s">
        <v>70</v>
      </c>
      <c r="L108" s="8">
        <v>6.2</v>
      </c>
      <c r="M108" s="8">
        <v>10.3</v>
      </c>
      <c r="N108" s="36">
        <f t="shared" si="59"/>
        <v>0.66129032258064524</v>
      </c>
      <c r="O108" s="36">
        <f t="shared" si="56"/>
        <v>1.8873668188736682E-2</v>
      </c>
      <c r="P108" s="36">
        <f t="shared" si="57"/>
        <v>2.4813298000481813E-2</v>
      </c>
      <c r="R108" s="157"/>
      <c r="S108" s="157"/>
      <c r="T108" s="157"/>
      <c r="U108" s="157"/>
      <c r="V108" s="158"/>
      <c r="W108" s="158"/>
      <c r="X108" s="158"/>
      <c r="AA108" s="159"/>
      <c r="AB108" s="159"/>
      <c r="AC108" s="159"/>
      <c r="AD108" s="159"/>
      <c r="AE108" s="160"/>
      <c r="AF108" s="160"/>
      <c r="AG108" s="160"/>
    </row>
    <row r="109" spans="1:33" ht="14" customHeight="1" x14ac:dyDescent="0.25">
      <c r="A109" s="154"/>
      <c r="B109" s="8">
        <v>8</v>
      </c>
      <c r="C109" s="8" t="s">
        <v>74</v>
      </c>
      <c r="D109" s="8">
        <v>0.5</v>
      </c>
      <c r="E109" s="8">
        <v>1.2999999999999989</v>
      </c>
      <c r="F109" s="36">
        <f t="shared" si="58"/>
        <v>1.5999999999999979</v>
      </c>
      <c r="G109" s="36">
        <f t="shared" si="54"/>
        <v>1.4367816091954018E-2</v>
      </c>
      <c r="H109" s="36">
        <f t="shared" si="60"/>
        <v>3.4574468085106336E-2</v>
      </c>
      <c r="J109" s="8">
        <v>8</v>
      </c>
      <c r="K109" s="8" t="s">
        <v>357</v>
      </c>
      <c r="L109" s="8">
        <v>6.7</v>
      </c>
      <c r="M109" s="8">
        <v>9</v>
      </c>
      <c r="N109" s="36">
        <f t="shared" si="59"/>
        <v>0.34328358208955212</v>
      </c>
      <c r="O109" s="36">
        <f t="shared" si="56"/>
        <v>2.0395738203957382E-2</v>
      </c>
      <c r="P109" s="36">
        <f t="shared" si="57"/>
        <v>2.1681522524692843E-2</v>
      </c>
      <c r="R109" s="157"/>
      <c r="S109" s="157"/>
      <c r="T109" s="157"/>
      <c r="U109" s="157"/>
      <c r="V109" s="158"/>
      <c r="W109" s="158"/>
      <c r="X109" s="158"/>
      <c r="AA109" s="159"/>
      <c r="AB109" s="159"/>
      <c r="AC109" s="159"/>
      <c r="AD109" s="159"/>
      <c r="AE109" s="160"/>
      <c r="AF109" s="160"/>
      <c r="AG109" s="160"/>
    </row>
    <row r="110" spans="1:33" ht="14" customHeight="1" x14ac:dyDescent="0.25">
      <c r="A110" s="154"/>
      <c r="B110" s="8">
        <v>9</v>
      </c>
      <c r="C110" s="8" t="s">
        <v>70</v>
      </c>
      <c r="D110" s="8">
        <v>0.90000000000000036</v>
      </c>
      <c r="E110" s="8">
        <v>1.9000000000000004</v>
      </c>
      <c r="F110" s="36">
        <f t="shared" si="58"/>
        <v>1.1111111111111107</v>
      </c>
      <c r="G110" s="36">
        <f t="shared" si="54"/>
        <v>2.5862068965517244E-2</v>
      </c>
      <c r="H110" s="36">
        <f t="shared" si="60"/>
        <v>5.0531914893616997E-2</v>
      </c>
      <c r="J110" s="8">
        <v>9</v>
      </c>
      <c r="K110" s="8" t="s">
        <v>74</v>
      </c>
      <c r="L110" s="8">
        <v>2.1</v>
      </c>
      <c r="M110" s="8">
        <v>8.6999999999999993</v>
      </c>
      <c r="N110" s="36">
        <f t="shared" si="59"/>
        <v>3.1428571428571423</v>
      </c>
      <c r="O110" s="36">
        <f t="shared" si="56"/>
        <v>6.392694063926941E-3</v>
      </c>
      <c r="P110" s="36">
        <f t="shared" si="57"/>
        <v>2.095880510720308E-2</v>
      </c>
      <c r="R110" s="157"/>
      <c r="S110" s="157"/>
      <c r="T110" s="157"/>
      <c r="U110" s="157"/>
      <c r="V110" s="158"/>
      <c r="W110" s="158"/>
      <c r="X110" s="158"/>
      <c r="AA110" s="159"/>
      <c r="AB110" s="159"/>
      <c r="AC110" s="159"/>
      <c r="AD110" s="159"/>
      <c r="AE110" s="160"/>
      <c r="AF110" s="160"/>
      <c r="AG110" s="160"/>
    </row>
    <row r="111" spans="1:33" ht="14" customHeight="1" x14ac:dyDescent="0.25">
      <c r="A111" s="154"/>
      <c r="B111" s="8">
        <v>10</v>
      </c>
      <c r="C111" s="8" t="s">
        <v>705</v>
      </c>
      <c r="D111" s="8">
        <v>1</v>
      </c>
      <c r="E111" s="8">
        <v>0.5</v>
      </c>
      <c r="F111" s="36">
        <f t="shared" si="58"/>
        <v>-0.5</v>
      </c>
      <c r="G111" s="36">
        <f t="shared" si="54"/>
        <v>2.8735632183908035E-2</v>
      </c>
      <c r="H111" s="36">
        <f t="shared" si="60"/>
        <v>1.3297872340425523E-2</v>
      </c>
      <c r="J111" s="8">
        <v>10</v>
      </c>
      <c r="K111" s="8" t="s">
        <v>705</v>
      </c>
      <c r="L111" s="8">
        <v>6.8</v>
      </c>
      <c r="M111" s="8">
        <v>7.7</v>
      </c>
      <c r="N111" s="36">
        <f t="shared" si="59"/>
        <v>0.13235294117647056</v>
      </c>
      <c r="O111" s="36">
        <f t="shared" si="56"/>
        <v>2.0700152207001523E-2</v>
      </c>
      <c r="P111" s="36">
        <f t="shared" si="57"/>
        <v>1.8549747048903879E-2</v>
      </c>
      <c r="R111" s="157"/>
      <c r="S111" s="157"/>
      <c r="T111" s="157"/>
      <c r="U111" s="157"/>
      <c r="V111" s="158"/>
      <c r="W111" s="158"/>
      <c r="X111" s="158"/>
      <c r="AA111" s="159"/>
      <c r="AB111" s="159"/>
      <c r="AC111" s="159"/>
      <c r="AD111" s="159"/>
      <c r="AE111" s="160"/>
      <c r="AF111" s="160"/>
      <c r="AG111" s="160"/>
    </row>
    <row r="112" spans="1:33" ht="14" customHeight="1" x14ac:dyDescent="0.25">
      <c r="A112" s="154"/>
      <c r="B112" s="8"/>
      <c r="C112" s="8" t="s">
        <v>77</v>
      </c>
      <c r="D112" s="8">
        <f t="shared" ref="D112:E113" si="61">L112-L127</f>
        <v>3</v>
      </c>
      <c r="E112" s="8">
        <f t="shared" si="61"/>
        <v>3.4999999999999964</v>
      </c>
      <c r="F112" s="36">
        <f t="shared" si="58"/>
        <v>0.16666666666666541</v>
      </c>
      <c r="G112" s="36">
        <f t="shared" si="54"/>
        <v>8.6206896551724116E-2</v>
      </c>
      <c r="H112" s="36">
        <f t="shared" si="60"/>
        <v>9.3085106382978566E-2</v>
      </c>
      <c r="J112" s="8"/>
      <c r="K112" s="8" t="s">
        <v>77</v>
      </c>
      <c r="L112" s="8">
        <v>29.2</v>
      </c>
      <c r="M112" s="8">
        <v>33.299999999999997</v>
      </c>
      <c r="N112" s="36">
        <f t="shared" si="59"/>
        <v>0.1404109589041096</v>
      </c>
      <c r="O112" s="36">
        <f t="shared" si="56"/>
        <v>8.8888888888888892E-2</v>
      </c>
      <c r="P112" s="36">
        <f t="shared" si="57"/>
        <v>8.0221633341363521E-2</v>
      </c>
      <c r="R112" s="157"/>
      <c r="S112" s="157"/>
      <c r="T112" s="157"/>
      <c r="U112" s="157"/>
      <c r="V112" s="158"/>
      <c r="W112" s="158"/>
      <c r="X112" s="158"/>
    </row>
    <row r="113" spans="1:33" ht="14" customHeight="1" x14ac:dyDescent="0.25">
      <c r="A113" s="154"/>
      <c r="B113" s="8"/>
      <c r="C113" s="8" t="s">
        <v>78</v>
      </c>
      <c r="D113" s="8">
        <f t="shared" si="61"/>
        <v>34.800000000000011</v>
      </c>
      <c r="E113" s="8">
        <f t="shared" si="61"/>
        <v>37.600000000000023</v>
      </c>
      <c r="F113" s="36">
        <f t="shared" si="58"/>
        <v>8.0459770114942764E-2</v>
      </c>
      <c r="G113" s="36">
        <f>D113/D$113</f>
        <v>1</v>
      </c>
      <c r="H113" s="36">
        <f>E113/E$113</f>
        <v>1</v>
      </c>
      <c r="J113" s="8"/>
      <c r="K113" s="8" t="s">
        <v>78</v>
      </c>
      <c r="L113" s="8">
        <v>328.5</v>
      </c>
      <c r="M113" s="8">
        <v>415.1</v>
      </c>
      <c r="N113" s="36">
        <f>M113/L113-1</f>
        <v>0.26362252663622532</v>
      </c>
      <c r="O113" s="36">
        <f>L113/L$113</f>
        <v>1</v>
      </c>
      <c r="P113" s="36">
        <f>M113/M$113</f>
        <v>1</v>
      </c>
      <c r="R113" s="159"/>
    </row>
    <row r="114" spans="1:33" ht="14" customHeight="1" x14ac:dyDescent="0.25">
      <c r="A114" s="154"/>
      <c r="B114" s="10"/>
      <c r="J114" s="10"/>
    </row>
    <row r="115" spans="1:33" ht="14" customHeight="1" x14ac:dyDescent="0.25">
      <c r="A115" s="154"/>
      <c r="B115" s="10" t="s">
        <v>708</v>
      </c>
      <c r="J115" s="10" t="s">
        <v>709</v>
      </c>
    </row>
    <row r="116" spans="1:33" ht="14" customHeight="1" x14ac:dyDescent="0.25">
      <c r="A116" s="154"/>
      <c r="B116" s="36" t="s">
        <v>582</v>
      </c>
      <c r="C116" s="36" t="s">
        <v>335</v>
      </c>
      <c r="D116" s="140">
        <v>45566</v>
      </c>
      <c r="E116" s="140">
        <v>45931</v>
      </c>
      <c r="F116" s="36" t="s">
        <v>34</v>
      </c>
      <c r="G116" s="36" t="s">
        <v>669</v>
      </c>
      <c r="H116" s="36" t="s">
        <v>670</v>
      </c>
      <c r="J116" s="36" t="s">
        <v>582</v>
      </c>
      <c r="K116" s="36" t="s">
        <v>335</v>
      </c>
      <c r="L116" s="36" t="s">
        <v>673</v>
      </c>
      <c r="M116" s="36" t="s">
        <v>674</v>
      </c>
      <c r="N116" s="36" t="s">
        <v>34</v>
      </c>
      <c r="O116" s="36" t="s">
        <v>669</v>
      </c>
      <c r="P116" s="36" t="s">
        <v>670</v>
      </c>
      <c r="R116" s="157"/>
      <c r="S116" s="157"/>
      <c r="T116" s="157"/>
      <c r="U116" s="157"/>
      <c r="V116" s="158"/>
      <c r="W116" s="158"/>
      <c r="X116" s="158"/>
      <c r="AA116" s="159"/>
      <c r="AB116" s="159"/>
      <c r="AC116" s="159"/>
      <c r="AD116" s="160"/>
      <c r="AE116" s="160"/>
      <c r="AF116" s="160"/>
    </row>
    <row r="117" spans="1:33" ht="14" customHeight="1" x14ac:dyDescent="0.25">
      <c r="A117" s="154"/>
      <c r="B117" s="8">
        <v>1</v>
      </c>
      <c r="C117" s="8" t="s">
        <v>68</v>
      </c>
      <c r="D117" s="8">
        <v>9.2000000000000028</v>
      </c>
      <c r="E117" s="8">
        <v>13.599999999999994</v>
      </c>
      <c r="F117" s="36">
        <f>E117/D117-1</f>
        <v>0.47826086956521641</v>
      </c>
      <c r="G117" s="36">
        <f>D117/D$128</f>
        <v>0.28482972136222912</v>
      </c>
      <c r="H117" s="36">
        <f>E117/E$128</f>
        <v>0.35233160621761622</v>
      </c>
      <c r="J117" s="8">
        <v>1</v>
      </c>
      <c r="K117" s="8" t="s">
        <v>68</v>
      </c>
      <c r="L117" s="8">
        <v>80</v>
      </c>
      <c r="M117" s="8">
        <v>110.1</v>
      </c>
      <c r="N117" s="36">
        <f>M117/L117-1</f>
        <v>0.37624999999999997</v>
      </c>
      <c r="O117" s="36">
        <f>L117/L$128</f>
        <v>0.27238678924072185</v>
      </c>
      <c r="P117" s="36">
        <f>M117/M$128</f>
        <v>0.29165562913907284</v>
      </c>
      <c r="R117" s="157"/>
      <c r="S117" s="157"/>
      <c r="T117" s="157"/>
      <c r="U117" s="157"/>
      <c r="V117" s="158"/>
      <c r="W117" s="158"/>
      <c r="X117" s="158"/>
      <c r="AA117" s="159"/>
      <c r="AB117" s="159"/>
      <c r="AC117" s="159"/>
      <c r="AD117" s="159"/>
      <c r="AE117" s="160"/>
      <c r="AF117" s="160"/>
      <c r="AG117" s="160"/>
    </row>
    <row r="118" spans="1:33" ht="14" customHeight="1" x14ac:dyDescent="0.25">
      <c r="A118" s="154"/>
      <c r="B118" s="8">
        <v>2</v>
      </c>
      <c r="C118" s="8" t="s">
        <v>127</v>
      </c>
      <c r="D118" s="8">
        <v>6.7999999999999972</v>
      </c>
      <c r="E118" s="8">
        <v>6.5</v>
      </c>
      <c r="F118" s="36">
        <f t="shared" ref="F118:F127" si="62">E118/D118-1</f>
        <v>-4.4117647058823151E-2</v>
      </c>
      <c r="G118" s="36">
        <f t="shared" ref="G118:G127" si="63">D118/D$128</f>
        <v>0.21052631578947353</v>
      </c>
      <c r="H118" s="36">
        <f t="shared" ref="H118:H127" si="64">E118/E$128</f>
        <v>0.16839378238341959</v>
      </c>
      <c r="J118" s="8">
        <v>2</v>
      </c>
      <c r="K118" s="8" t="s">
        <v>127</v>
      </c>
      <c r="L118" s="8">
        <v>71.099999999999994</v>
      </c>
      <c r="M118" s="8">
        <v>79.2</v>
      </c>
      <c r="N118" s="36">
        <f t="shared" ref="N118:N128" si="65">M118/L118-1</f>
        <v>0.11392405063291156</v>
      </c>
      <c r="O118" s="36">
        <f t="shared" ref="O118:O127" si="66">L118/L$128</f>
        <v>0.24208375893769152</v>
      </c>
      <c r="P118" s="36">
        <f t="shared" ref="P118:P127" si="67">M118/M$128</f>
        <v>0.20980132450331127</v>
      </c>
      <c r="R118" s="157"/>
      <c r="S118" s="157"/>
      <c r="T118" s="157"/>
      <c r="U118" s="157"/>
      <c r="V118" s="158"/>
      <c r="W118" s="158"/>
      <c r="X118" s="158"/>
      <c r="AA118" s="159"/>
      <c r="AB118" s="159"/>
      <c r="AC118" s="159"/>
      <c r="AD118" s="159"/>
      <c r="AE118" s="160"/>
      <c r="AF118" s="160"/>
      <c r="AG118" s="160"/>
    </row>
    <row r="119" spans="1:33" ht="14" customHeight="1" x14ac:dyDescent="0.25">
      <c r="A119" s="154"/>
      <c r="B119" s="8">
        <v>3</v>
      </c>
      <c r="C119" s="8" t="s">
        <v>25</v>
      </c>
      <c r="D119" s="8">
        <v>3.6999999999999993</v>
      </c>
      <c r="E119" s="8">
        <v>3.2000000000000028</v>
      </c>
      <c r="F119" s="36">
        <f t="shared" si="62"/>
        <v>-0.1351351351351342</v>
      </c>
      <c r="G119" s="36">
        <f t="shared" si="63"/>
        <v>0.1145510835913312</v>
      </c>
      <c r="H119" s="36">
        <f t="shared" si="64"/>
        <v>8.2901554404145109E-2</v>
      </c>
      <c r="J119" s="8">
        <v>3</v>
      </c>
      <c r="K119" s="8" t="s">
        <v>25</v>
      </c>
      <c r="L119" s="8">
        <v>31.5</v>
      </c>
      <c r="M119" s="8">
        <v>37.5</v>
      </c>
      <c r="N119" s="36">
        <f t="shared" si="65"/>
        <v>0.19047619047619047</v>
      </c>
      <c r="O119" s="36">
        <f t="shared" si="66"/>
        <v>0.10725229826353422</v>
      </c>
      <c r="P119" s="36">
        <f t="shared" si="67"/>
        <v>9.9337748344370855E-2</v>
      </c>
      <c r="R119" s="157"/>
      <c r="S119" s="157"/>
      <c r="T119" s="157"/>
      <c r="U119" s="157"/>
      <c r="V119" s="158"/>
      <c r="W119" s="158"/>
      <c r="X119" s="158"/>
      <c r="AA119" s="159"/>
      <c r="AB119" s="159"/>
      <c r="AC119" s="159"/>
      <c r="AD119" s="159"/>
      <c r="AE119" s="160"/>
      <c r="AF119" s="160"/>
      <c r="AG119" s="160"/>
    </row>
    <row r="120" spans="1:33" ht="14" customHeight="1" x14ac:dyDescent="0.25">
      <c r="A120" s="154"/>
      <c r="B120" s="8">
        <v>4</v>
      </c>
      <c r="C120" s="8" t="s">
        <v>72</v>
      </c>
      <c r="D120" s="8">
        <v>3.1999999999999993</v>
      </c>
      <c r="E120" s="8">
        <v>2.8999999999999986</v>
      </c>
      <c r="F120" s="36">
        <f t="shared" si="62"/>
        <v>-9.3750000000000222E-2</v>
      </c>
      <c r="G120" s="36">
        <f t="shared" si="63"/>
        <v>9.9071207430340494E-2</v>
      </c>
      <c r="H120" s="36">
        <f t="shared" si="64"/>
        <v>7.5129533678756397E-2</v>
      </c>
      <c r="J120" s="8">
        <v>4</v>
      </c>
      <c r="K120" s="8" t="s">
        <v>72</v>
      </c>
      <c r="L120" s="8">
        <v>28.3</v>
      </c>
      <c r="M120" s="8">
        <v>35.9</v>
      </c>
      <c r="N120" s="36">
        <f t="shared" si="65"/>
        <v>0.26855123674911652</v>
      </c>
      <c r="O120" s="36">
        <f t="shared" si="66"/>
        <v>9.6356826693905356E-2</v>
      </c>
      <c r="P120" s="36">
        <f t="shared" si="67"/>
        <v>9.5099337748344365E-2</v>
      </c>
      <c r="R120" s="157"/>
      <c r="S120" s="157"/>
      <c r="T120" s="157"/>
      <c r="U120" s="157"/>
      <c r="V120" s="158"/>
      <c r="W120" s="158"/>
      <c r="X120" s="158"/>
      <c r="AA120" s="159"/>
      <c r="AB120" s="159"/>
      <c r="AC120" s="159"/>
      <c r="AD120" s="159"/>
      <c r="AE120" s="160"/>
      <c r="AF120" s="160"/>
      <c r="AG120" s="160"/>
    </row>
    <row r="121" spans="1:33" ht="14" customHeight="1" x14ac:dyDescent="0.25">
      <c r="A121" s="154"/>
      <c r="B121" s="8">
        <v>5</v>
      </c>
      <c r="C121" s="8" t="s">
        <v>69</v>
      </c>
      <c r="D121" s="8">
        <v>1.4000000000000004</v>
      </c>
      <c r="E121" s="8">
        <v>2.8999999999999986</v>
      </c>
      <c r="F121" s="36">
        <f t="shared" si="62"/>
        <v>1.0714285714285698</v>
      </c>
      <c r="G121" s="36">
        <f t="shared" si="63"/>
        <v>4.3343653250773988E-2</v>
      </c>
      <c r="H121" s="36">
        <f t="shared" si="64"/>
        <v>7.5129533678756397E-2</v>
      </c>
      <c r="J121" s="8">
        <v>5</v>
      </c>
      <c r="K121" s="8" t="s">
        <v>69</v>
      </c>
      <c r="L121" s="8">
        <v>11.9</v>
      </c>
      <c r="M121" s="8">
        <v>28.7</v>
      </c>
      <c r="N121" s="36">
        <f t="shared" si="65"/>
        <v>1.4117647058823528</v>
      </c>
      <c r="O121" s="36">
        <f t="shared" si="66"/>
        <v>4.0517534899557374E-2</v>
      </c>
      <c r="P121" s="36">
        <f t="shared" si="67"/>
        <v>7.6026490066225166E-2</v>
      </c>
      <c r="R121" s="157"/>
      <c r="S121" s="157"/>
      <c r="T121" s="157"/>
      <c r="U121" s="157"/>
      <c r="V121" s="158"/>
      <c r="W121" s="158"/>
      <c r="X121" s="158"/>
      <c r="AA121" s="159"/>
      <c r="AB121" s="159"/>
      <c r="AC121" s="159"/>
      <c r="AD121" s="159"/>
      <c r="AE121" s="160"/>
      <c r="AF121" s="160"/>
      <c r="AG121" s="160"/>
    </row>
    <row r="122" spans="1:33" ht="14" customHeight="1" x14ac:dyDescent="0.25">
      <c r="A122" s="154"/>
      <c r="B122" s="8">
        <v>6</v>
      </c>
      <c r="C122" s="8" t="s">
        <v>128</v>
      </c>
      <c r="D122" s="8">
        <v>2.1999999999999993</v>
      </c>
      <c r="E122" s="8">
        <v>2.1000000000000014</v>
      </c>
      <c r="F122" s="36">
        <f t="shared" si="62"/>
        <v>-4.5454545454544526E-2</v>
      </c>
      <c r="G122" s="36">
        <f t="shared" si="63"/>
        <v>6.8111455108359087E-2</v>
      </c>
      <c r="H122" s="36">
        <f t="shared" si="64"/>
        <v>5.4404145077720213E-2</v>
      </c>
      <c r="J122" s="8">
        <v>6</v>
      </c>
      <c r="K122" s="8" t="s">
        <v>128</v>
      </c>
      <c r="L122" s="8">
        <v>26.3</v>
      </c>
      <c r="M122" s="8">
        <v>25.1</v>
      </c>
      <c r="N122" s="36">
        <f t="shared" si="65"/>
        <v>-4.5627376425855459E-2</v>
      </c>
      <c r="O122" s="36">
        <f t="shared" si="66"/>
        <v>8.95471569628873E-2</v>
      </c>
      <c r="P122" s="36">
        <f t="shared" si="67"/>
        <v>6.6490066225165567E-2</v>
      </c>
      <c r="R122" s="157"/>
      <c r="S122" s="157"/>
      <c r="T122" s="157"/>
      <c r="U122" s="157"/>
      <c r="V122" s="158"/>
      <c r="W122" s="158"/>
      <c r="X122" s="158"/>
      <c r="AA122" s="159"/>
      <c r="AB122" s="159"/>
      <c r="AC122" s="159"/>
      <c r="AD122" s="159"/>
      <c r="AE122" s="160"/>
      <c r="AF122" s="160"/>
      <c r="AG122" s="160"/>
    </row>
    <row r="123" spans="1:33" ht="14" customHeight="1" x14ac:dyDescent="0.25">
      <c r="A123" s="154"/>
      <c r="B123" s="8">
        <v>7</v>
      </c>
      <c r="C123" s="8" t="s">
        <v>70</v>
      </c>
      <c r="D123" s="8">
        <v>1</v>
      </c>
      <c r="E123" s="8">
        <v>1.5</v>
      </c>
      <c r="F123" s="36">
        <f t="shared" si="62"/>
        <v>0.5</v>
      </c>
      <c r="G123" s="36">
        <f t="shared" si="63"/>
        <v>3.0959752321981414E-2</v>
      </c>
      <c r="H123" s="36">
        <f t="shared" si="64"/>
        <v>3.8860103626942984E-2</v>
      </c>
      <c r="J123" s="8">
        <v>7</v>
      </c>
      <c r="K123" s="8" t="s">
        <v>70</v>
      </c>
      <c r="L123" s="8">
        <v>5.3</v>
      </c>
      <c r="M123" s="8">
        <v>8.4</v>
      </c>
      <c r="N123" s="36">
        <f t="shared" si="65"/>
        <v>0.58490566037735858</v>
      </c>
      <c r="O123" s="36">
        <f t="shared" si="66"/>
        <v>1.8045624787197821E-2</v>
      </c>
      <c r="P123" s="36">
        <f t="shared" si="67"/>
        <v>2.2251655629139073E-2</v>
      </c>
      <c r="R123" s="157"/>
      <c r="S123" s="157"/>
      <c r="T123" s="157"/>
      <c r="U123" s="157"/>
      <c r="V123" s="158"/>
      <c r="W123" s="158"/>
      <c r="X123" s="158"/>
      <c r="AA123" s="159"/>
      <c r="AB123" s="159"/>
      <c r="AC123" s="159"/>
      <c r="AD123" s="159"/>
      <c r="AE123" s="160"/>
      <c r="AF123" s="160"/>
      <c r="AG123" s="160"/>
    </row>
    <row r="124" spans="1:33" ht="14" customHeight="1" x14ac:dyDescent="0.25">
      <c r="A124" s="154"/>
      <c r="B124" s="8">
        <v>8</v>
      </c>
      <c r="C124" s="8" t="s">
        <v>74</v>
      </c>
      <c r="D124" s="8">
        <v>0.40000000000000013</v>
      </c>
      <c r="E124" s="8">
        <v>0.90000000000000036</v>
      </c>
      <c r="F124" s="36">
        <f t="shared" si="62"/>
        <v>1.25</v>
      </c>
      <c r="G124" s="36">
        <f t="shared" si="63"/>
        <v>1.2383900928792569E-2</v>
      </c>
      <c r="H124" s="36">
        <f t="shared" si="64"/>
        <v>2.3316062176165799E-2</v>
      </c>
      <c r="J124" s="8">
        <v>8</v>
      </c>
      <c r="K124" s="8" t="s">
        <v>357</v>
      </c>
      <c r="L124" s="8">
        <v>5.9</v>
      </c>
      <c r="M124" s="8">
        <v>8.1</v>
      </c>
      <c r="N124" s="36">
        <f t="shared" si="65"/>
        <v>0.37288135593220328</v>
      </c>
      <c r="O124" s="36">
        <f t="shared" si="66"/>
        <v>2.0088525706503237E-2</v>
      </c>
      <c r="P124" s="36">
        <f t="shared" si="67"/>
        <v>2.1456953642384105E-2</v>
      </c>
      <c r="R124" s="157"/>
      <c r="S124" s="157"/>
      <c r="T124" s="157"/>
      <c r="U124" s="157"/>
      <c r="V124" s="158"/>
      <c r="W124" s="158"/>
      <c r="X124" s="158"/>
      <c r="AA124" s="159"/>
      <c r="AB124" s="159"/>
      <c r="AC124" s="159"/>
      <c r="AD124" s="159"/>
      <c r="AE124" s="160"/>
      <c r="AF124" s="160"/>
      <c r="AG124" s="160"/>
    </row>
    <row r="125" spans="1:33" ht="14" customHeight="1" x14ac:dyDescent="0.25">
      <c r="A125" s="154"/>
      <c r="B125" s="8">
        <v>9</v>
      </c>
      <c r="C125" s="8" t="s">
        <v>357</v>
      </c>
      <c r="D125" s="8">
        <v>0.80000000000000071</v>
      </c>
      <c r="E125" s="8">
        <v>0.89999999999999947</v>
      </c>
      <c r="F125" s="36">
        <f t="shared" si="62"/>
        <v>0.12499999999999845</v>
      </c>
      <c r="G125" s="36">
        <f t="shared" si="63"/>
        <v>2.4767801857585151E-2</v>
      </c>
      <c r="H125" s="36">
        <f t="shared" si="64"/>
        <v>2.3316062176165775E-2</v>
      </c>
      <c r="J125" s="8">
        <v>9</v>
      </c>
      <c r="K125" s="8" t="s">
        <v>74</v>
      </c>
      <c r="L125" s="8">
        <v>1.6</v>
      </c>
      <c r="M125" s="8">
        <v>7.4</v>
      </c>
      <c r="N125" s="36">
        <f t="shared" si="65"/>
        <v>3.625</v>
      </c>
      <c r="O125" s="36">
        <f t="shared" si="66"/>
        <v>5.447735784814437E-3</v>
      </c>
      <c r="P125" s="36">
        <f t="shared" si="67"/>
        <v>1.9602649006622518E-2</v>
      </c>
      <c r="R125" s="157"/>
      <c r="S125" s="157"/>
      <c r="T125" s="157"/>
      <c r="U125" s="157"/>
      <c r="V125" s="158"/>
      <c r="W125" s="158"/>
      <c r="X125" s="158"/>
      <c r="AA125" s="159"/>
      <c r="AB125" s="159"/>
      <c r="AC125" s="159"/>
      <c r="AD125" s="159"/>
      <c r="AE125" s="160"/>
      <c r="AF125" s="160"/>
      <c r="AG125" s="160"/>
    </row>
    <row r="126" spans="1:33" ht="14" customHeight="1" x14ac:dyDescent="0.25">
      <c r="A126" s="154"/>
      <c r="B126" s="8">
        <v>10</v>
      </c>
      <c r="C126" s="8" t="s">
        <v>705</v>
      </c>
      <c r="D126" s="8">
        <v>1.0999999999999996</v>
      </c>
      <c r="E126" s="8">
        <v>0.60000000000000053</v>
      </c>
      <c r="F126" s="36">
        <f t="shared" si="62"/>
        <v>-0.45454545454545392</v>
      </c>
      <c r="G126" s="36">
        <f t="shared" si="63"/>
        <v>3.4055727554179543E-2</v>
      </c>
      <c r="H126" s="36">
        <f t="shared" si="64"/>
        <v>1.5544041450777207E-2</v>
      </c>
      <c r="J126" s="8">
        <v>10</v>
      </c>
      <c r="K126" s="8" t="s">
        <v>705</v>
      </c>
      <c r="L126" s="8">
        <v>5.8</v>
      </c>
      <c r="M126" s="8">
        <v>7.2</v>
      </c>
      <c r="N126" s="36">
        <f t="shared" si="65"/>
        <v>0.24137931034482762</v>
      </c>
      <c r="O126" s="36">
        <f t="shared" si="66"/>
        <v>1.9748042219952331E-2</v>
      </c>
      <c r="P126" s="36">
        <f t="shared" si="67"/>
        <v>1.9072847682119205E-2</v>
      </c>
      <c r="R126" s="157"/>
      <c r="S126" s="157"/>
      <c r="T126" s="157"/>
      <c r="U126" s="157"/>
      <c r="V126" s="158"/>
      <c r="W126" s="158"/>
      <c r="X126" s="158"/>
      <c r="AA126" s="159"/>
      <c r="AB126" s="159"/>
      <c r="AC126" s="159"/>
      <c r="AD126" s="159"/>
      <c r="AE126" s="160"/>
      <c r="AF126" s="160"/>
      <c r="AG126" s="160"/>
    </row>
    <row r="127" spans="1:33" ht="14" customHeight="1" x14ac:dyDescent="0.25">
      <c r="A127" s="154"/>
      <c r="B127" s="8"/>
      <c r="C127" s="8" t="s">
        <v>77</v>
      </c>
      <c r="D127" s="8">
        <f>L127-L142</f>
        <v>2.6999999999999993</v>
      </c>
      <c r="E127" s="8">
        <f>M127-M142</f>
        <v>3.4000000000000021</v>
      </c>
      <c r="F127" s="36">
        <f t="shared" si="62"/>
        <v>0.25925925925926041</v>
      </c>
      <c r="G127" s="36">
        <f t="shared" si="63"/>
        <v>8.3591331269349797E-2</v>
      </c>
      <c r="H127" s="36">
        <f t="shared" si="64"/>
        <v>8.8082901554404153E-2</v>
      </c>
      <c r="J127" s="8"/>
      <c r="K127" s="8" t="s">
        <v>77</v>
      </c>
      <c r="L127" s="8">
        <v>26.2</v>
      </c>
      <c r="M127" s="8">
        <v>29.8</v>
      </c>
      <c r="N127" s="36">
        <f t="shared" si="65"/>
        <v>0.13740458015267176</v>
      </c>
      <c r="O127" s="36">
        <f t="shared" si="66"/>
        <v>8.9206673476336401E-2</v>
      </c>
      <c r="P127" s="36">
        <f t="shared" si="67"/>
        <v>7.8940397350993383E-2</v>
      </c>
      <c r="R127" s="157"/>
      <c r="S127" s="157"/>
      <c r="T127" s="157"/>
      <c r="U127" s="157"/>
      <c r="V127" s="158"/>
      <c r="W127" s="158"/>
      <c r="X127" s="158"/>
    </row>
    <row r="128" spans="1:33" ht="14" customHeight="1" x14ac:dyDescent="0.25">
      <c r="A128" s="154"/>
      <c r="B128" s="8"/>
      <c r="C128" s="8" t="s">
        <v>78</v>
      </c>
      <c r="D128" s="8">
        <f>L128-L143</f>
        <v>32.300000000000011</v>
      </c>
      <c r="E128" s="8">
        <f>M128-M143</f>
        <v>38.600000000000023</v>
      </c>
      <c r="F128" s="36">
        <f>E128/D128-1</f>
        <v>0.19504643962848323</v>
      </c>
      <c r="G128" s="36">
        <f>D128/D$128</f>
        <v>1</v>
      </c>
      <c r="H128" s="36">
        <f>E128/E$128</f>
        <v>1</v>
      </c>
      <c r="J128" s="8"/>
      <c r="K128" s="8" t="s">
        <v>78</v>
      </c>
      <c r="L128" s="8">
        <v>293.7</v>
      </c>
      <c r="M128" s="8">
        <v>377.5</v>
      </c>
      <c r="N128" s="36">
        <f t="shared" si="65"/>
        <v>0.28532516172965616</v>
      </c>
      <c r="O128" s="36">
        <f>L128/L$128</f>
        <v>1</v>
      </c>
      <c r="P128" s="36">
        <f>M128/M$128</f>
        <v>1</v>
      </c>
      <c r="R128" s="159"/>
    </row>
    <row r="129" spans="1:33" ht="14" customHeight="1" x14ac:dyDescent="0.25">
      <c r="A129" s="154"/>
      <c r="B129" s="10"/>
      <c r="J129" s="10"/>
    </row>
    <row r="130" spans="1:33" ht="14" customHeight="1" x14ac:dyDescent="0.25">
      <c r="A130" s="154"/>
      <c r="B130" s="10" t="s">
        <v>710</v>
      </c>
      <c r="J130" s="10" t="s">
        <v>711</v>
      </c>
    </row>
    <row r="131" spans="1:33" ht="14" customHeight="1" x14ac:dyDescent="0.25">
      <c r="A131" s="154"/>
      <c r="B131" s="36" t="s">
        <v>582</v>
      </c>
      <c r="C131" s="36" t="s">
        <v>335</v>
      </c>
      <c r="D131" s="140">
        <v>45536</v>
      </c>
      <c r="E131" s="140">
        <v>45901</v>
      </c>
      <c r="F131" s="36" t="s">
        <v>34</v>
      </c>
      <c r="G131" s="36" t="s">
        <v>669</v>
      </c>
      <c r="H131" s="36" t="s">
        <v>670</v>
      </c>
      <c r="J131" s="36" t="s">
        <v>582</v>
      </c>
      <c r="K131" s="36" t="s">
        <v>335</v>
      </c>
      <c r="L131" s="36" t="s">
        <v>675</v>
      </c>
      <c r="M131" s="36" t="s">
        <v>676</v>
      </c>
      <c r="N131" s="36" t="s">
        <v>34</v>
      </c>
      <c r="O131" s="36" t="s">
        <v>669</v>
      </c>
      <c r="P131" s="36" t="s">
        <v>670</v>
      </c>
      <c r="R131" s="157"/>
      <c r="S131" s="157"/>
      <c r="T131" s="157"/>
      <c r="U131" s="157"/>
      <c r="V131" s="158"/>
      <c r="W131" s="158"/>
      <c r="X131" s="158"/>
      <c r="AA131" s="159"/>
      <c r="AB131" s="159"/>
      <c r="AC131" s="159"/>
      <c r="AD131" s="160"/>
      <c r="AE131" s="160"/>
      <c r="AF131" s="160"/>
    </row>
    <row r="132" spans="1:33" ht="14" customHeight="1" x14ac:dyDescent="0.25">
      <c r="A132" s="154"/>
      <c r="B132" s="8">
        <v>1</v>
      </c>
      <c r="C132" s="8" t="s">
        <v>68</v>
      </c>
      <c r="D132" s="8">
        <v>9.5999999999999943</v>
      </c>
      <c r="E132" s="8">
        <v>12.700000000000003</v>
      </c>
      <c r="F132" s="36">
        <f>E132/D132-1</f>
        <v>0.32291666666666785</v>
      </c>
      <c r="G132" s="36">
        <f t="shared" ref="G132:G142" si="68">D132/D$143</f>
        <v>0.27507163323782235</v>
      </c>
      <c r="H132" s="36">
        <f t="shared" ref="H132:H142" si="69">E132/E$143</f>
        <v>0.25098814229249033</v>
      </c>
      <c r="J132" s="8">
        <v>1</v>
      </c>
      <c r="K132" s="8" t="s">
        <v>68</v>
      </c>
      <c r="L132" s="8">
        <v>70.8</v>
      </c>
      <c r="M132" s="8">
        <v>96.5</v>
      </c>
      <c r="N132" s="36">
        <f>M132/L132-1</f>
        <v>0.36299435028248594</v>
      </c>
      <c r="O132" s="36">
        <f t="shared" ref="O132:O142" si="70">L132/L$143</f>
        <v>0.270849273144606</v>
      </c>
      <c r="P132" s="36">
        <f t="shared" ref="P132:P142" si="71">M132/M$143</f>
        <v>0.28474476246680441</v>
      </c>
      <c r="R132" s="157"/>
      <c r="S132" s="157"/>
      <c r="T132" s="157"/>
      <c r="U132" s="157"/>
      <c r="V132" s="158"/>
      <c r="W132" s="158"/>
      <c r="X132" s="158"/>
      <c r="AA132" s="159"/>
      <c r="AB132" s="159"/>
      <c r="AC132" s="159"/>
      <c r="AD132" s="159"/>
      <c r="AE132" s="160"/>
      <c r="AF132" s="160"/>
      <c r="AG132" s="160"/>
    </row>
    <row r="133" spans="1:33" ht="14" customHeight="1" x14ac:dyDescent="0.25">
      <c r="A133" s="154"/>
      <c r="B133" s="8">
        <v>2</v>
      </c>
      <c r="C133" s="8" t="s">
        <v>127</v>
      </c>
      <c r="D133" s="8">
        <v>9.1999999999999957</v>
      </c>
      <c r="E133" s="8">
        <v>11.400000000000006</v>
      </c>
      <c r="F133" s="36">
        <f t="shared" ref="F133:F142" si="72">E133/D133-1</f>
        <v>0.23913043478260998</v>
      </c>
      <c r="G133" s="36">
        <f t="shared" si="68"/>
        <v>0.26361031518624645</v>
      </c>
      <c r="H133" s="36">
        <f t="shared" si="69"/>
        <v>0.22529644268774729</v>
      </c>
      <c r="J133" s="8">
        <v>2</v>
      </c>
      <c r="K133" s="8" t="s">
        <v>127</v>
      </c>
      <c r="L133" s="8">
        <v>64.3</v>
      </c>
      <c r="M133" s="8">
        <v>72.7</v>
      </c>
      <c r="N133" s="36">
        <f t="shared" ref="N133:N142" si="73">M133/L133-1</f>
        <v>0.13063763608087098</v>
      </c>
      <c r="O133" s="36">
        <f t="shared" si="70"/>
        <v>0.24598316755929611</v>
      </c>
      <c r="P133" s="36">
        <f t="shared" si="71"/>
        <v>0.21451755680141638</v>
      </c>
      <c r="R133" s="157"/>
      <c r="S133" s="157"/>
      <c r="T133" s="157"/>
      <c r="U133" s="157"/>
      <c r="V133" s="158"/>
      <c r="W133" s="158"/>
      <c r="X133" s="158"/>
      <c r="AA133" s="159"/>
      <c r="AB133" s="159"/>
      <c r="AC133" s="159"/>
      <c r="AD133" s="159"/>
      <c r="AE133" s="160"/>
      <c r="AF133" s="160"/>
      <c r="AG133" s="160"/>
    </row>
    <row r="134" spans="1:33" ht="14" customHeight="1" x14ac:dyDescent="0.25">
      <c r="A134" s="154"/>
      <c r="B134" s="8">
        <v>3</v>
      </c>
      <c r="C134" s="8" t="s">
        <v>72</v>
      </c>
      <c r="D134" s="8">
        <v>2.9000000000000021</v>
      </c>
      <c r="E134" s="8">
        <v>7.1999999999999993</v>
      </c>
      <c r="F134" s="36">
        <f t="shared" si="72"/>
        <v>1.482758620689653</v>
      </c>
      <c r="G134" s="36">
        <f t="shared" si="68"/>
        <v>8.3094555873925613E-2</v>
      </c>
      <c r="H134" s="36">
        <f t="shared" si="69"/>
        <v>0.14229249011857717</v>
      </c>
      <c r="J134" s="8">
        <v>3</v>
      </c>
      <c r="K134" s="8" t="s">
        <v>25</v>
      </c>
      <c r="L134" s="8">
        <v>27.8</v>
      </c>
      <c r="M134" s="8">
        <v>34.299999999999997</v>
      </c>
      <c r="N134" s="36">
        <f t="shared" si="73"/>
        <v>0.23381294964028765</v>
      </c>
      <c r="O134" s="36">
        <f t="shared" si="70"/>
        <v>0.10635042081101762</v>
      </c>
      <c r="P134" s="36">
        <f t="shared" si="71"/>
        <v>0.10120979640011803</v>
      </c>
      <c r="R134" s="157"/>
      <c r="S134" s="157"/>
      <c r="T134" s="157"/>
      <c r="U134" s="157"/>
      <c r="V134" s="158"/>
      <c r="W134" s="158"/>
      <c r="X134" s="158"/>
      <c r="AA134" s="159"/>
      <c r="AB134" s="159"/>
      <c r="AC134" s="159"/>
      <c r="AD134" s="159"/>
      <c r="AE134" s="160"/>
      <c r="AF134" s="160"/>
      <c r="AG134" s="160"/>
    </row>
    <row r="135" spans="1:33" ht="14" customHeight="1" x14ac:dyDescent="0.25">
      <c r="A135" s="154"/>
      <c r="B135" s="8">
        <v>4</v>
      </c>
      <c r="C135" s="8" t="s">
        <v>25</v>
      </c>
      <c r="D135" s="8">
        <v>3.6000000000000014</v>
      </c>
      <c r="E135" s="8">
        <v>5.2999999999999972</v>
      </c>
      <c r="F135" s="36">
        <f t="shared" si="72"/>
        <v>0.47222222222222077</v>
      </c>
      <c r="G135" s="36">
        <f t="shared" si="68"/>
        <v>0.10315186246418349</v>
      </c>
      <c r="H135" s="36">
        <f t="shared" si="69"/>
        <v>0.10474308300395259</v>
      </c>
      <c r="J135" s="8">
        <v>4</v>
      </c>
      <c r="K135" s="8" t="s">
        <v>72</v>
      </c>
      <c r="L135" s="8">
        <v>25.1</v>
      </c>
      <c r="M135" s="8">
        <v>33</v>
      </c>
      <c r="N135" s="36">
        <f t="shared" si="73"/>
        <v>0.31474103585657365</v>
      </c>
      <c r="O135" s="36">
        <f t="shared" si="70"/>
        <v>9.6021423106350437E-2</v>
      </c>
      <c r="P135" s="36">
        <f t="shared" si="71"/>
        <v>9.7373856594865749E-2</v>
      </c>
      <c r="R135" s="157"/>
      <c r="S135" s="157"/>
      <c r="T135" s="157"/>
      <c r="U135" s="157"/>
      <c r="V135" s="158"/>
      <c r="W135" s="158"/>
      <c r="X135" s="158"/>
      <c r="AA135" s="159"/>
      <c r="AB135" s="159"/>
      <c r="AC135" s="159"/>
      <c r="AD135" s="159"/>
      <c r="AE135" s="160"/>
      <c r="AF135" s="160"/>
      <c r="AG135" s="160"/>
    </row>
    <row r="136" spans="1:33" ht="14" customHeight="1" x14ac:dyDescent="0.25">
      <c r="A136" s="154"/>
      <c r="B136" s="8">
        <v>5</v>
      </c>
      <c r="C136" s="8" t="s">
        <v>69</v>
      </c>
      <c r="D136" s="8">
        <v>1.5</v>
      </c>
      <c r="E136" s="8">
        <v>3.4000000000000021</v>
      </c>
      <c r="F136" s="36">
        <f t="shared" si="72"/>
        <v>1.2666666666666679</v>
      </c>
      <c r="G136" s="36">
        <f t="shared" si="68"/>
        <v>4.2979942693409767E-2</v>
      </c>
      <c r="H136" s="36">
        <f t="shared" si="69"/>
        <v>6.7193675889328147E-2</v>
      </c>
      <c r="J136" s="8">
        <v>5</v>
      </c>
      <c r="K136" s="8" t="s">
        <v>69</v>
      </c>
      <c r="L136" s="8">
        <v>10.5</v>
      </c>
      <c r="M136" s="8">
        <v>25.8</v>
      </c>
      <c r="N136" s="36">
        <f t="shared" si="73"/>
        <v>1.4571428571428573</v>
      </c>
      <c r="O136" s="36">
        <f t="shared" si="70"/>
        <v>4.0168324407039026E-2</v>
      </c>
      <c r="P136" s="36">
        <f t="shared" si="71"/>
        <v>7.6128651519622309E-2</v>
      </c>
      <c r="R136" s="157"/>
      <c r="S136" s="157"/>
      <c r="T136" s="157"/>
      <c r="U136" s="157"/>
      <c r="V136" s="158"/>
      <c r="W136" s="158"/>
      <c r="X136" s="158"/>
      <c r="AA136" s="159"/>
      <c r="AB136" s="159"/>
      <c r="AC136" s="159"/>
      <c r="AD136" s="159"/>
      <c r="AE136" s="160"/>
      <c r="AF136" s="160"/>
      <c r="AG136" s="160"/>
    </row>
    <row r="137" spans="1:33" ht="14" customHeight="1" x14ac:dyDescent="0.25">
      <c r="A137" s="154"/>
      <c r="B137" s="8">
        <v>6</v>
      </c>
      <c r="C137" s="8" t="s">
        <v>128</v>
      </c>
      <c r="D137" s="8">
        <v>2.2000000000000028</v>
      </c>
      <c r="E137" s="8">
        <v>3</v>
      </c>
      <c r="F137" s="36">
        <f t="shared" si="72"/>
        <v>0.36363636363636198</v>
      </c>
      <c r="G137" s="36">
        <f t="shared" si="68"/>
        <v>6.3037249283667746E-2</v>
      </c>
      <c r="H137" s="36">
        <f t="shared" si="69"/>
        <v>5.9288537549407154E-2</v>
      </c>
      <c r="J137" s="8">
        <v>6</v>
      </c>
      <c r="K137" s="8" t="s">
        <v>128</v>
      </c>
      <c r="L137" s="8">
        <v>24.1</v>
      </c>
      <c r="M137" s="8">
        <v>23</v>
      </c>
      <c r="N137" s="36">
        <f t="shared" si="73"/>
        <v>-4.5643153526971014E-2</v>
      </c>
      <c r="O137" s="36">
        <f t="shared" si="70"/>
        <v>9.2195868400918146E-2</v>
      </c>
      <c r="P137" s="36">
        <f t="shared" si="71"/>
        <v>6.7866627323694306E-2</v>
      </c>
      <c r="R137" s="157"/>
      <c r="S137" s="157"/>
      <c r="T137" s="157"/>
      <c r="U137" s="157"/>
      <c r="V137" s="158"/>
      <c r="W137" s="158"/>
      <c r="X137" s="158"/>
      <c r="AA137" s="159"/>
      <c r="AB137" s="159"/>
      <c r="AC137" s="159"/>
      <c r="AD137" s="159"/>
      <c r="AE137" s="160"/>
      <c r="AF137" s="160"/>
      <c r="AG137" s="160"/>
    </row>
    <row r="138" spans="1:33" ht="14" customHeight="1" x14ac:dyDescent="0.25">
      <c r="A138" s="154"/>
      <c r="B138" s="8">
        <v>7</v>
      </c>
      <c r="C138" s="8" t="s">
        <v>712</v>
      </c>
      <c r="D138" s="8">
        <v>1.1000000000000001</v>
      </c>
      <c r="E138" s="8">
        <v>1.2999999999999998</v>
      </c>
      <c r="F138" s="36">
        <f t="shared" si="72"/>
        <v>0.18181818181818166</v>
      </c>
      <c r="G138" s="36">
        <f t="shared" si="68"/>
        <v>3.1518624641833831E-2</v>
      </c>
      <c r="H138" s="36">
        <f t="shared" si="69"/>
        <v>2.5691699604743098E-2</v>
      </c>
      <c r="J138" s="8">
        <v>7</v>
      </c>
      <c r="K138" s="8" t="s">
        <v>357</v>
      </c>
      <c r="L138" s="8">
        <v>5.0999999999999996</v>
      </c>
      <c r="M138" s="8">
        <v>7.2</v>
      </c>
      <c r="N138" s="36">
        <f t="shared" si="73"/>
        <v>0.41176470588235303</v>
      </c>
      <c r="O138" s="36">
        <f t="shared" si="70"/>
        <v>1.9510328997704666E-2</v>
      </c>
      <c r="P138" s="36">
        <f t="shared" si="71"/>
        <v>2.1245205075243436E-2</v>
      </c>
      <c r="R138" s="157"/>
      <c r="S138" s="157"/>
      <c r="T138" s="157"/>
      <c r="U138" s="157"/>
      <c r="V138" s="158"/>
      <c r="W138" s="158"/>
      <c r="X138" s="158"/>
      <c r="AA138" s="159"/>
      <c r="AB138" s="159"/>
      <c r="AC138" s="159"/>
      <c r="AD138" s="159"/>
      <c r="AE138" s="160"/>
      <c r="AF138" s="160"/>
      <c r="AG138" s="160"/>
    </row>
    <row r="139" spans="1:33" ht="14" customHeight="1" x14ac:dyDescent="0.25">
      <c r="A139" s="154"/>
      <c r="B139" s="8">
        <v>8</v>
      </c>
      <c r="C139" s="8" t="s">
        <v>713</v>
      </c>
      <c r="D139" s="8">
        <v>0.89999999999999991</v>
      </c>
      <c r="E139" s="8">
        <v>1.1000000000000005</v>
      </c>
      <c r="F139" s="36">
        <f t="shared" si="72"/>
        <v>0.22222222222222299</v>
      </c>
      <c r="G139" s="36">
        <f t="shared" si="68"/>
        <v>2.578796561604586E-2</v>
      </c>
      <c r="H139" s="36">
        <f t="shared" si="69"/>
        <v>2.1739130434782632E-2</v>
      </c>
      <c r="J139" s="8">
        <v>8</v>
      </c>
      <c r="K139" s="8" t="s">
        <v>713</v>
      </c>
      <c r="L139" s="8">
        <v>4.3</v>
      </c>
      <c r="M139" s="8">
        <v>6.9</v>
      </c>
      <c r="N139" s="36">
        <f t="shared" si="73"/>
        <v>0.60465116279069786</v>
      </c>
      <c r="O139" s="36">
        <f t="shared" si="70"/>
        <v>1.6449885233358837E-2</v>
      </c>
      <c r="P139" s="36">
        <f t="shared" si="71"/>
        <v>2.0359988197108294E-2</v>
      </c>
      <c r="R139" s="157"/>
      <c r="S139" s="157"/>
      <c r="T139" s="157"/>
      <c r="U139" s="157"/>
      <c r="V139" s="158"/>
      <c r="W139" s="158"/>
      <c r="X139" s="158"/>
      <c r="AA139" s="159"/>
      <c r="AB139" s="159"/>
      <c r="AC139" s="159"/>
      <c r="AD139" s="159"/>
      <c r="AE139" s="160"/>
      <c r="AF139" s="160"/>
      <c r="AG139" s="160"/>
    </row>
    <row r="140" spans="1:33" ht="14" customHeight="1" x14ac:dyDescent="0.25">
      <c r="A140" s="154"/>
      <c r="B140" s="8">
        <v>9</v>
      </c>
      <c r="C140" s="8" t="s">
        <v>341</v>
      </c>
      <c r="D140" s="8">
        <v>0.39999999999999991</v>
      </c>
      <c r="E140" s="8">
        <v>1.0999999999999996</v>
      </c>
      <c r="F140" s="36">
        <f t="shared" si="72"/>
        <v>1.7499999999999996</v>
      </c>
      <c r="G140" s="36">
        <f t="shared" si="68"/>
        <v>1.1461318051575936E-2</v>
      </c>
      <c r="H140" s="36">
        <f t="shared" si="69"/>
        <v>2.1739130434782615E-2</v>
      </c>
      <c r="J140" s="8">
        <v>9</v>
      </c>
      <c r="K140" s="8" t="s">
        <v>712</v>
      </c>
      <c r="L140" s="8">
        <v>4.7</v>
      </c>
      <c r="M140" s="8">
        <v>6.6</v>
      </c>
      <c r="N140" s="36">
        <f t="shared" si="73"/>
        <v>0.40425531914893598</v>
      </c>
      <c r="O140" s="36">
        <f t="shared" si="70"/>
        <v>1.7980107115531753E-2</v>
      </c>
      <c r="P140" s="36">
        <f t="shared" si="71"/>
        <v>1.9474771318973148E-2</v>
      </c>
      <c r="R140" s="157"/>
      <c r="S140" s="157"/>
      <c r="T140" s="157"/>
      <c r="U140" s="157"/>
      <c r="V140" s="158"/>
      <c r="W140" s="158"/>
      <c r="X140" s="158"/>
      <c r="AA140" s="159"/>
      <c r="AB140" s="159"/>
      <c r="AC140" s="159"/>
      <c r="AD140" s="159"/>
      <c r="AE140" s="160"/>
      <c r="AF140" s="160"/>
      <c r="AG140" s="160"/>
    </row>
    <row r="141" spans="1:33" ht="14" customHeight="1" x14ac:dyDescent="0.25">
      <c r="A141" s="154"/>
      <c r="B141" s="8">
        <v>10</v>
      </c>
      <c r="C141" s="8" t="s">
        <v>357</v>
      </c>
      <c r="D141" s="8">
        <v>0.59999999999999964</v>
      </c>
      <c r="E141" s="8">
        <v>0.79999999999999982</v>
      </c>
      <c r="F141" s="36">
        <f t="shared" si="72"/>
        <v>0.33333333333333393</v>
      </c>
      <c r="G141" s="36">
        <f t="shared" si="68"/>
        <v>1.7191977077363897E-2</v>
      </c>
      <c r="H141" s="36">
        <f t="shared" si="69"/>
        <v>1.5810276679841903E-2</v>
      </c>
      <c r="J141" s="8">
        <v>10</v>
      </c>
      <c r="K141" s="8" t="s">
        <v>341</v>
      </c>
      <c r="L141" s="8">
        <v>1.2</v>
      </c>
      <c r="M141" s="8">
        <v>6.5</v>
      </c>
      <c r="N141" s="36">
        <f t="shared" si="73"/>
        <v>4.416666666666667</v>
      </c>
      <c r="O141" s="36">
        <f t="shared" si="70"/>
        <v>4.5906656465187455E-3</v>
      </c>
      <c r="P141" s="36">
        <f t="shared" si="71"/>
        <v>1.9179699026261435E-2</v>
      </c>
      <c r="R141" s="157"/>
      <c r="S141" s="157"/>
      <c r="T141" s="157"/>
      <c r="U141" s="157"/>
      <c r="V141" s="158"/>
      <c r="W141" s="158"/>
      <c r="X141" s="158"/>
      <c r="AA141" s="159"/>
      <c r="AB141" s="159"/>
      <c r="AC141" s="159"/>
      <c r="AD141" s="159"/>
      <c r="AE141" s="160"/>
      <c r="AF141" s="160"/>
      <c r="AG141" s="160"/>
    </row>
    <row r="142" spans="1:33" ht="14" customHeight="1" x14ac:dyDescent="0.25">
      <c r="A142" s="154"/>
      <c r="B142" s="8"/>
      <c r="C142" s="8" t="s">
        <v>77</v>
      </c>
      <c r="D142" s="8">
        <f>L142-L157</f>
        <v>3</v>
      </c>
      <c r="E142" s="8">
        <f t="shared" ref="E142" si="74">M142-M157</f>
        <v>3.1999999999999993</v>
      </c>
      <c r="F142" s="36">
        <f t="shared" si="72"/>
        <v>6.666666666666643E-2</v>
      </c>
      <c r="G142" s="36">
        <f t="shared" si="68"/>
        <v>8.5959885386819535E-2</v>
      </c>
      <c r="H142" s="36">
        <f t="shared" si="69"/>
        <v>6.3241106719367612E-2</v>
      </c>
      <c r="J142" s="8"/>
      <c r="K142" s="8" t="s">
        <v>77</v>
      </c>
      <c r="L142" s="8">
        <v>23.5</v>
      </c>
      <c r="M142" s="8">
        <v>26.4</v>
      </c>
      <c r="N142" s="36">
        <f t="shared" si="73"/>
        <v>0.12340425531914878</v>
      </c>
      <c r="O142" s="36">
        <f t="shared" si="70"/>
        <v>8.9900535577658772E-2</v>
      </c>
      <c r="P142" s="36">
        <f t="shared" si="71"/>
        <v>7.7899085275892593E-2</v>
      </c>
      <c r="R142" s="157"/>
      <c r="S142" s="157"/>
      <c r="T142" s="157"/>
      <c r="U142" s="157"/>
      <c r="V142" s="158"/>
      <c r="W142" s="158"/>
      <c r="X142" s="158"/>
    </row>
    <row r="143" spans="1:33" ht="14" customHeight="1" x14ac:dyDescent="0.25">
      <c r="A143" s="154"/>
      <c r="B143" s="8"/>
      <c r="C143" s="8" t="s">
        <v>78</v>
      </c>
      <c r="D143" s="8">
        <f>L143-L158</f>
        <v>34.899999999999977</v>
      </c>
      <c r="E143" s="8">
        <f t="shared" ref="E143" si="75">M143-M158</f>
        <v>50.599999999999966</v>
      </c>
      <c r="F143" s="36">
        <f>E143/D143-1</f>
        <v>0.44985673352435529</v>
      </c>
      <c r="G143" s="36">
        <f>D143/D$143</f>
        <v>1</v>
      </c>
      <c r="H143" s="36">
        <f>E143/E$143</f>
        <v>1</v>
      </c>
      <c r="J143" s="8"/>
      <c r="K143" s="8" t="s">
        <v>78</v>
      </c>
      <c r="L143" s="8">
        <v>261.39999999999998</v>
      </c>
      <c r="M143" s="8">
        <v>338.9</v>
      </c>
      <c r="N143" s="36">
        <f>M143/L143-1</f>
        <v>0.29648048967100227</v>
      </c>
      <c r="O143" s="36">
        <f>L143/L$143</f>
        <v>1</v>
      </c>
      <c r="P143" s="36">
        <f>M143/M$143</f>
        <v>1</v>
      </c>
      <c r="R143" s="159"/>
    </row>
    <row r="144" spans="1:33" ht="14" customHeight="1" x14ac:dyDescent="0.25">
      <c r="A144" s="154"/>
      <c r="B144" s="10"/>
      <c r="J144" s="10"/>
    </row>
    <row r="145" spans="1:32" ht="14" customHeight="1" x14ac:dyDescent="0.25">
      <c r="A145" s="154"/>
      <c r="B145" s="10" t="s">
        <v>714</v>
      </c>
      <c r="J145" s="10" t="s">
        <v>715</v>
      </c>
    </row>
    <row r="146" spans="1:32" ht="14" customHeight="1" x14ac:dyDescent="0.25">
      <c r="A146" s="154"/>
      <c r="B146" s="36" t="s">
        <v>582</v>
      </c>
      <c r="C146" s="36" t="s">
        <v>335</v>
      </c>
      <c r="D146" s="140">
        <v>45505</v>
      </c>
      <c r="E146" s="140">
        <v>45870</v>
      </c>
      <c r="F146" s="36" t="s">
        <v>34</v>
      </c>
      <c r="G146" s="36" t="s">
        <v>669</v>
      </c>
      <c r="H146" s="36" t="s">
        <v>670</v>
      </c>
      <c r="J146" s="36" t="s">
        <v>582</v>
      </c>
      <c r="K146" s="36" t="s">
        <v>335</v>
      </c>
      <c r="L146" s="36" t="s">
        <v>677</v>
      </c>
      <c r="M146" s="36" t="s">
        <v>678</v>
      </c>
      <c r="N146" s="36" t="s">
        <v>34</v>
      </c>
      <c r="O146" s="36" t="s">
        <v>669</v>
      </c>
      <c r="P146" s="36" t="s">
        <v>670</v>
      </c>
      <c r="R146" s="9"/>
      <c r="S146" s="9"/>
      <c r="T146" s="9"/>
      <c r="U146" s="9"/>
      <c r="V146" s="9"/>
      <c r="W146" s="9"/>
      <c r="X146" s="9"/>
      <c r="Y146" s="159"/>
      <c r="Z146" s="159"/>
      <c r="AA146" s="159"/>
      <c r="AB146" s="159"/>
      <c r="AC146" s="160"/>
      <c r="AD146" s="160"/>
      <c r="AE146" s="160"/>
      <c r="AF146" s="160"/>
    </row>
    <row r="147" spans="1:32" ht="14" customHeight="1" x14ac:dyDescent="0.25">
      <c r="A147" s="154"/>
      <c r="B147" s="8">
        <v>1</v>
      </c>
      <c r="C147" s="8" t="s">
        <v>68</v>
      </c>
      <c r="D147" s="8">
        <f t="shared" ref="D147:E153" si="76">L147-L162</f>
        <v>7</v>
      </c>
      <c r="E147" s="8">
        <f t="shared" si="76"/>
        <v>10.5</v>
      </c>
      <c r="F147" s="36">
        <f>E147/D147-1</f>
        <v>0.5</v>
      </c>
      <c r="G147" s="36">
        <f>D147/D$158</f>
        <v>0.23890784982935145</v>
      </c>
      <c r="H147" s="36">
        <f>E147/E$158</f>
        <v>0.24940617577197136</v>
      </c>
      <c r="J147" s="8">
        <v>1</v>
      </c>
      <c r="K147" s="8" t="s">
        <v>68</v>
      </c>
      <c r="L147" s="8">
        <v>61.2</v>
      </c>
      <c r="M147" s="8">
        <v>83.8</v>
      </c>
      <c r="N147" s="36">
        <f>M147/L147-1</f>
        <v>0.36928104575163379</v>
      </c>
      <c r="O147" s="36">
        <f>L147/L$158</f>
        <v>0.27019867549668874</v>
      </c>
      <c r="P147" s="36">
        <f>M147/M$158</f>
        <v>0.29066944155393687</v>
      </c>
      <c r="R147" s="159"/>
      <c r="S147" s="159"/>
      <c r="T147" s="159"/>
      <c r="U147" s="159"/>
      <c r="V147" s="160"/>
      <c r="W147" s="160"/>
      <c r="X147" s="160"/>
      <c r="Y147" s="159"/>
      <c r="Z147" s="159"/>
      <c r="AA147" s="159"/>
      <c r="AB147" s="159"/>
      <c r="AC147" s="160"/>
      <c r="AD147" s="160"/>
      <c r="AE147" s="160"/>
      <c r="AF147" s="160"/>
    </row>
    <row r="148" spans="1:32" ht="14" customHeight="1" x14ac:dyDescent="0.25">
      <c r="A148" s="154"/>
      <c r="B148" s="8">
        <v>2</v>
      </c>
      <c r="C148" s="8" t="s">
        <v>127</v>
      </c>
      <c r="D148" s="8">
        <f t="shared" si="76"/>
        <v>7.1000000000000014</v>
      </c>
      <c r="E148" s="8">
        <f t="shared" si="76"/>
        <v>10.399999999999999</v>
      </c>
      <c r="F148" s="36">
        <f t="shared" ref="F148:F158" si="77">E148/D148-1</f>
        <v>0.4647887323943658</v>
      </c>
      <c r="G148" s="36">
        <f t="shared" ref="G148:G158" si="78">D148/D$158</f>
        <v>0.24232081911262793</v>
      </c>
      <c r="H148" s="36">
        <f t="shared" ref="H148:H158" si="79">E148/E$158</f>
        <v>0.24703087885985731</v>
      </c>
      <c r="J148" s="8">
        <v>2</v>
      </c>
      <c r="K148" s="8" t="s">
        <v>127</v>
      </c>
      <c r="L148" s="8">
        <v>55.1</v>
      </c>
      <c r="M148" s="8">
        <v>61.3</v>
      </c>
      <c r="N148" s="36">
        <f t="shared" ref="N148:N157" si="80">M148/L148-1</f>
        <v>0.11252268602540827</v>
      </c>
      <c r="O148" s="36">
        <f t="shared" ref="O148:P157" si="81">L148/L$158</f>
        <v>0.24326710816777042</v>
      </c>
      <c r="P148" s="36">
        <f t="shared" si="81"/>
        <v>0.21262573707943114</v>
      </c>
      <c r="R148" s="159"/>
      <c r="S148" s="159"/>
      <c r="T148" s="159"/>
      <c r="U148" s="159"/>
      <c r="V148" s="160"/>
      <c r="W148" s="160"/>
      <c r="X148" s="160"/>
      <c r="Y148" s="159"/>
      <c r="Z148" s="159"/>
      <c r="AA148" s="159"/>
      <c r="AB148" s="159"/>
      <c r="AC148" s="160"/>
      <c r="AD148" s="160"/>
      <c r="AE148" s="160"/>
      <c r="AF148" s="160"/>
    </row>
    <row r="149" spans="1:32" ht="14" customHeight="1" x14ac:dyDescent="0.25">
      <c r="A149" s="154"/>
      <c r="B149" s="8">
        <v>3</v>
      </c>
      <c r="C149" s="8" t="s">
        <v>25</v>
      </c>
      <c r="D149" s="8">
        <f t="shared" si="76"/>
        <v>3.1999999999999993</v>
      </c>
      <c r="E149" s="8">
        <f t="shared" si="76"/>
        <v>4.3999999999999986</v>
      </c>
      <c r="F149" s="36">
        <f t="shared" si="77"/>
        <v>0.37499999999999978</v>
      </c>
      <c r="G149" s="36">
        <f t="shared" si="78"/>
        <v>0.10921501706484635</v>
      </c>
      <c r="H149" s="36">
        <f t="shared" si="79"/>
        <v>0.10451306413301653</v>
      </c>
      <c r="J149" s="8">
        <v>3</v>
      </c>
      <c r="K149" s="8" t="s">
        <v>25</v>
      </c>
      <c r="L149" s="8">
        <v>24.2</v>
      </c>
      <c r="M149" s="8">
        <v>29</v>
      </c>
      <c r="N149" s="36">
        <f t="shared" si="80"/>
        <v>0.19834710743801653</v>
      </c>
      <c r="O149" s="36">
        <f t="shared" si="81"/>
        <v>0.10684326710816777</v>
      </c>
      <c r="P149" s="36">
        <f t="shared" si="81"/>
        <v>0.10058966354491848</v>
      </c>
      <c r="R149" s="159"/>
      <c r="S149" s="159"/>
      <c r="T149" s="159"/>
      <c r="U149" s="159"/>
      <c r="V149" s="160"/>
      <c r="W149" s="160"/>
      <c r="X149" s="160"/>
      <c r="Y149" s="159"/>
      <c r="Z149" s="159"/>
      <c r="AA149" s="159"/>
      <c r="AB149" s="159"/>
      <c r="AC149" s="160"/>
      <c r="AD149" s="160"/>
      <c r="AE149" s="160"/>
      <c r="AF149" s="160"/>
    </row>
    <row r="150" spans="1:32" ht="14" customHeight="1" x14ac:dyDescent="0.25">
      <c r="A150" s="154"/>
      <c r="B150" s="8">
        <v>4</v>
      </c>
      <c r="C150" s="8" t="s">
        <v>72</v>
      </c>
      <c r="D150" s="8">
        <f t="shared" si="76"/>
        <v>3.0999999999999979</v>
      </c>
      <c r="E150" s="8">
        <f t="shared" si="76"/>
        <v>4.4000000000000021</v>
      </c>
      <c r="F150" s="36">
        <f t="shared" si="77"/>
        <v>0.41935483870967905</v>
      </c>
      <c r="G150" s="36">
        <f t="shared" si="78"/>
        <v>0.10580204778156985</v>
      </c>
      <c r="H150" s="36">
        <f t="shared" si="79"/>
        <v>0.10451306413301661</v>
      </c>
      <c r="J150" s="8">
        <v>4</v>
      </c>
      <c r="K150" s="8" t="s">
        <v>72</v>
      </c>
      <c r="L150" s="8">
        <v>22.2</v>
      </c>
      <c r="M150" s="8">
        <v>25.8</v>
      </c>
      <c r="N150" s="36">
        <f t="shared" si="80"/>
        <v>0.16216216216216228</v>
      </c>
      <c r="O150" s="36">
        <f t="shared" si="81"/>
        <v>9.8013245033112581E-2</v>
      </c>
      <c r="P150" s="36">
        <f t="shared" si="81"/>
        <v>8.9490114464099893E-2</v>
      </c>
      <c r="R150" s="159"/>
      <c r="S150" s="159"/>
      <c r="T150" s="159"/>
      <c r="U150" s="159"/>
      <c r="V150" s="160"/>
      <c r="W150" s="160"/>
      <c r="X150" s="160"/>
      <c r="Y150" s="159"/>
      <c r="Z150" s="159"/>
      <c r="AA150" s="159"/>
      <c r="AB150" s="159"/>
      <c r="AC150" s="160"/>
      <c r="AD150" s="160"/>
      <c r="AE150" s="160"/>
      <c r="AF150" s="160"/>
    </row>
    <row r="151" spans="1:32" ht="14" customHeight="1" x14ac:dyDescent="0.25">
      <c r="A151" s="154"/>
      <c r="B151" s="8">
        <v>5</v>
      </c>
      <c r="C151" s="8" t="s">
        <v>69</v>
      </c>
      <c r="D151" s="8">
        <f t="shared" si="76"/>
        <v>1.4000000000000004</v>
      </c>
      <c r="E151" s="8">
        <f t="shared" si="76"/>
        <v>4</v>
      </c>
      <c r="F151" s="36">
        <f t="shared" si="77"/>
        <v>1.8571428571428563</v>
      </c>
      <c r="G151" s="36">
        <f t="shared" si="78"/>
        <v>4.7781569965870303E-2</v>
      </c>
      <c r="H151" s="36">
        <f t="shared" si="79"/>
        <v>9.5011876484560512E-2</v>
      </c>
      <c r="J151" s="8">
        <v>5</v>
      </c>
      <c r="K151" s="8" t="s">
        <v>69</v>
      </c>
      <c r="L151" s="8">
        <v>9</v>
      </c>
      <c r="M151" s="8">
        <v>22.4</v>
      </c>
      <c r="N151" s="36">
        <f t="shared" si="80"/>
        <v>1.4888888888888889</v>
      </c>
      <c r="O151" s="36">
        <f t="shared" si="81"/>
        <v>3.9735099337748346E-2</v>
      </c>
      <c r="P151" s="36">
        <f t="shared" si="81"/>
        <v>7.7696843565730131E-2</v>
      </c>
      <c r="R151" s="159"/>
      <c r="S151" s="159"/>
      <c r="T151" s="159"/>
      <c r="U151" s="159"/>
      <c r="V151" s="160"/>
      <c r="W151" s="160"/>
      <c r="X151" s="160"/>
      <c r="Y151" s="159"/>
      <c r="Z151" s="159"/>
      <c r="AA151" s="159"/>
      <c r="AB151" s="159"/>
      <c r="AC151" s="160"/>
      <c r="AD151" s="160"/>
      <c r="AE151" s="160"/>
      <c r="AF151" s="160"/>
    </row>
    <row r="152" spans="1:32" ht="14" customHeight="1" x14ac:dyDescent="0.25">
      <c r="A152" s="154"/>
      <c r="B152" s="8">
        <v>6</v>
      </c>
      <c r="C152" s="8" t="s">
        <v>128</v>
      </c>
      <c r="D152" s="8">
        <f t="shared" si="76"/>
        <v>2.1999999999999993</v>
      </c>
      <c r="E152" s="8">
        <f t="shared" si="76"/>
        <v>2.3000000000000007</v>
      </c>
      <c r="F152" s="36">
        <f t="shared" si="77"/>
        <v>4.545454545454608E-2</v>
      </c>
      <c r="G152" s="36">
        <f t="shared" si="78"/>
        <v>7.5085324232081863E-2</v>
      </c>
      <c r="H152" s="36">
        <f t="shared" si="79"/>
        <v>5.4631828978622315E-2</v>
      </c>
      <c r="J152" s="8">
        <v>6</v>
      </c>
      <c r="K152" s="8" t="s">
        <v>128</v>
      </c>
      <c r="L152" s="8">
        <v>21.9</v>
      </c>
      <c r="M152" s="8">
        <v>20</v>
      </c>
      <c r="N152" s="36">
        <f t="shared" si="80"/>
        <v>-8.6757990867579848E-2</v>
      </c>
      <c r="O152" s="36">
        <f t="shared" si="81"/>
        <v>9.6688741721854293E-2</v>
      </c>
      <c r="P152" s="36">
        <f t="shared" si="81"/>
        <v>6.9372181755116197E-2</v>
      </c>
      <c r="R152" s="159"/>
      <c r="S152" s="159"/>
      <c r="T152" s="159"/>
      <c r="U152" s="159"/>
      <c r="V152" s="160"/>
      <c r="W152" s="160"/>
      <c r="X152" s="160"/>
      <c r="Y152" s="159"/>
      <c r="Z152" s="159"/>
      <c r="AA152" s="159"/>
      <c r="AB152" s="159"/>
      <c r="AC152" s="160"/>
      <c r="AD152" s="160"/>
      <c r="AE152" s="160"/>
      <c r="AF152" s="160"/>
    </row>
    <row r="153" spans="1:32" ht="14" customHeight="1" x14ac:dyDescent="0.25">
      <c r="A153" s="154"/>
      <c r="B153" s="8">
        <v>7</v>
      </c>
      <c r="C153" s="8" t="s">
        <v>357</v>
      </c>
      <c r="D153" s="8">
        <f t="shared" si="76"/>
        <v>0.40000000000000036</v>
      </c>
      <c r="E153" s="8">
        <f t="shared" si="76"/>
        <v>1</v>
      </c>
      <c r="F153" s="36">
        <f t="shared" si="77"/>
        <v>1.4999999999999978</v>
      </c>
      <c r="G153" s="36">
        <f t="shared" si="78"/>
        <v>1.3651877133105809E-2</v>
      </c>
      <c r="H153" s="36">
        <f t="shared" si="79"/>
        <v>2.3752969121140128E-2</v>
      </c>
      <c r="J153" s="8">
        <v>7</v>
      </c>
      <c r="K153" s="8" t="s">
        <v>357</v>
      </c>
      <c r="L153" s="8">
        <v>4.5</v>
      </c>
      <c r="M153" s="8">
        <v>6.4</v>
      </c>
      <c r="N153" s="36">
        <f t="shared" si="80"/>
        <v>0.42222222222222228</v>
      </c>
      <c r="O153" s="36">
        <f t="shared" si="81"/>
        <v>1.9867549668874173E-2</v>
      </c>
      <c r="P153" s="36">
        <f t="shared" si="81"/>
        <v>2.2199098161637183E-2</v>
      </c>
      <c r="R153" s="159"/>
      <c r="S153" s="159"/>
      <c r="T153" s="159"/>
      <c r="U153" s="159"/>
      <c r="V153" s="160"/>
      <c r="W153" s="160"/>
      <c r="X153" s="160"/>
      <c r="Y153" s="159"/>
      <c r="Z153" s="159"/>
      <c r="AA153" s="159"/>
      <c r="AB153" s="159"/>
      <c r="AC153" s="160"/>
      <c r="AD153" s="160"/>
      <c r="AE153" s="160"/>
      <c r="AF153" s="160"/>
    </row>
    <row r="154" spans="1:32" ht="14" customHeight="1" x14ac:dyDescent="0.25">
      <c r="A154" s="154"/>
      <c r="B154" s="8">
        <v>8</v>
      </c>
      <c r="C154" s="8" t="s">
        <v>74</v>
      </c>
      <c r="D154" s="8">
        <f>L155-L169</f>
        <v>0.20000000000000007</v>
      </c>
      <c r="E154" s="8">
        <f>M155-M169</f>
        <v>0.60000000000000053</v>
      </c>
      <c r="F154" s="36">
        <f t="shared" si="77"/>
        <v>2.0000000000000018</v>
      </c>
      <c r="G154" s="36">
        <f t="shared" si="78"/>
        <v>6.8259385665529002E-3</v>
      </c>
      <c r="H154" s="36">
        <f t="shared" si="79"/>
        <v>1.425178147268409E-2</v>
      </c>
      <c r="J154" s="8">
        <v>8</v>
      </c>
      <c r="K154" s="8" t="s">
        <v>713</v>
      </c>
      <c r="L154" s="8">
        <v>3.4</v>
      </c>
      <c r="M154" s="8">
        <v>5.8</v>
      </c>
      <c r="N154" s="36">
        <f t="shared" si="80"/>
        <v>0.70588235294117641</v>
      </c>
      <c r="O154" s="36">
        <f t="shared" si="81"/>
        <v>1.5011037527593819E-2</v>
      </c>
      <c r="P154" s="36">
        <f t="shared" si="81"/>
        <v>2.0117932708983696E-2</v>
      </c>
      <c r="R154" s="159"/>
      <c r="S154" s="159"/>
      <c r="T154" s="159"/>
      <c r="U154" s="159"/>
      <c r="V154" s="160"/>
      <c r="W154" s="160"/>
      <c r="X154" s="160"/>
      <c r="Y154" s="159"/>
      <c r="Z154" s="159"/>
      <c r="AA154" s="159"/>
      <c r="AB154" s="159"/>
      <c r="AC154" s="160"/>
      <c r="AD154" s="160"/>
      <c r="AE154" s="160"/>
      <c r="AF154" s="160"/>
    </row>
    <row r="155" spans="1:32" ht="14" customHeight="1" x14ac:dyDescent="0.25">
      <c r="A155" s="154"/>
      <c r="B155" s="8">
        <v>9</v>
      </c>
      <c r="C155" s="8" t="s">
        <v>70</v>
      </c>
      <c r="D155" s="8">
        <f>L154-L170</f>
        <v>0.79999999999999982</v>
      </c>
      <c r="E155" s="8">
        <f>M154-M170</f>
        <v>1.0999999999999996</v>
      </c>
      <c r="F155" s="36">
        <f t="shared" si="77"/>
        <v>0.37499999999999978</v>
      </c>
      <c r="G155" s="36">
        <f t="shared" si="78"/>
        <v>2.7303754266211587E-2</v>
      </c>
      <c r="H155" s="36">
        <f t="shared" si="79"/>
        <v>2.6128266033254133E-2</v>
      </c>
      <c r="J155" s="8">
        <v>9</v>
      </c>
      <c r="K155" s="8" t="s">
        <v>341</v>
      </c>
      <c r="L155" s="8">
        <v>0.8</v>
      </c>
      <c r="M155" s="8">
        <v>5.4</v>
      </c>
      <c r="N155" s="36">
        <f t="shared" si="80"/>
        <v>5.75</v>
      </c>
      <c r="O155" s="36">
        <f t="shared" si="81"/>
        <v>3.5320088300220751E-3</v>
      </c>
      <c r="P155" s="36">
        <f t="shared" si="81"/>
        <v>1.8730489073881373E-2</v>
      </c>
      <c r="R155" s="159"/>
      <c r="S155" s="159"/>
      <c r="T155" s="159"/>
      <c r="U155" s="159"/>
      <c r="V155" s="160"/>
      <c r="W155" s="160"/>
      <c r="X155" s="160"/>
      <c r="Y155" s="159"/>
      <c r="Z155" s="159"/>
      <c r="AA155" s="159"/>
      <c r="AB155" s="159"/>
      <c r="AC155" s="160"/>
      <c r="AD155" s="160"/>
      <c r="AE155" s="160"/>
      <c r="AF155" s="160"/>
    </row>
    <row r="156" spans="1:32" ht="14" customHeight="1" x14ac:dyDescent="0.25">
      <c r="A156" s="154"/>
      <c r="B156" s="8">
        <v>10</v>
      </c>
      <c r="C156" s="8" t="s">
        <v>705</v>
      </c>
      <c r="D156" s="8">
        <f t="shared" ref="D156:E158" si="82">L156-L171</f>
        <v>1.2000000000000002</v>
      </c>
      <c r="E156" s="8">
        <f t="shared" si="82"/>
        <v>0.89999999999999947</v>
      </c>
      <c r="F156" s="36">
        <f t="shared" si="77"/>
        <v>-0.25000000000000056</v>
      </c>
      <c r="G156" s="36">
        <f t="shared" si="78"/>
        <v>4.0955631399317398E-2</v>
      </c>
      <c r="H156" s="36">
        <f t="shared" si="79"/>
        <v>2.1377672209026106E-2</v>
      </c>
      <c r="J156" s="8">
        <v>10</v>
      </c>
      <c r="K156" s="8" t="s">
        <v>705</v>
      </c>
      <c r="L156" s="8">
        <v>3.6</v>
      </c>
      <c r="M156" s="8">
        <v>5.3</v>
      </c>
      <c r="N156" s="36">
        <f t="shared" si="80"/>
        <v>0.4722222222222221</v>
      </c>
      <c r="O156" s="36">
        <f t="shared" si="81"/>
        <v>1.5894039735099338E-2</v>
      </c>
      <c r="P156" s="36">
        <f t="shared" si="81"/>
        <v>1.8383628165105793E-2</v>
      </c>
      <c r="R156" s="159"/>
      <c r="S156" s="159"/>
      <c r="T156" s="159"/>
      <c r="U156" s="159"/>
      <c r="V156" s="160"/>
      <c r="W156" s="160"/>
      <c r="X156" s="160"/>
      <c r="Y156" s="159"/>
      <c r="Z156" s="159"/>
      <c r="AA156" s="159"/>
      <c r="AB156" s="159"/>
      <c r="AC156" s="160"/>
      <c r="AD156" s="160"/>
      <c r="AE156" s="160"/>
      <c r="AF156" s="160"/>
    </row>
    <row r="157" spans="1:32" ht="14" customHeight="1" x14ac:dyDescent="0.25">
      <c r="A157" s="154"/>
      <c r="B157" s="8" t="s">
        <v>77</v>
      </c>
      <c r="C157" s="8" t="s">
        <v>77</v>
      </c>
      <c r="D157" s="8">
        <f t="shared" si="82"/>
        <v>2.6000000000000014</v>
      </c>
      <c r="E157" s="8">
        <f t="shared" si="82"/>
        <v>2.5999999999999979</v>
      </c>
      <c r="F157" s="36">
        <f t="shared" si="77"/>
        <v>-1.3322676295501878E-15</v>
      </c>
      <c r="G157" s="36">
        <f t="shared" si="78"/>
        <v>8.8737201365187729E-2</v>
      </c>
      <c r="H157" s="36">
        <f t="shared" si="79"/>
        <v>6.1757719714964285E-2</v>
      </c>
      <c r="J157" s="8"/>
      <c r="K157" s="8" t="s">
        <v>77</v>
      </c>
      <c r="L157" s="8">
        <v>20.5</v>
      </c>
      <c r="M157" s="8">
        <v>23.2</v>
      </c>
      <c r="N157" s="36">
        <f t="shared" si="80"/>
        <v>0.13170731707317063</v>
      </c>
      <c r="O157" s="36">
        <f t="shared" si="81"/>
        <v>9.0507726269315678E-2</v>
      </c>
      <c r="P157" s="36">
        <f t="shared" si="81"/>
        <v>8.0471730835934785E-2</v>
      </c>
      <c r="R157" s="159"/>
      <c r="S157" s="159"/>
      <c r="T157" s="159"/>
      <c r="U157" s="159"/>
      <c r="V157" s="160"/>
      <c r="W157" s="160"/>
      <c r="X157" s="160"/>
      <c r="Y157" s="159"/>
      <c r="Z157" s="159"/>
      <c r="AA157" s="159"/>
      <c r="AB157" s="159"/>
      <c r="AC157" s="160"/>
      <c r="AD157" s="160"/>
      <c r="AE157" s="160"/>
      <c r="AF157" s="160"/>
    </row>
    <row r="158" spans="1:32" ht="14" customHeight="1" x14ac:dyDescent="0.25">
      <c r="A158" s="154"/>
      <c r="B158" s="8" t="s">
        <v>78</v>
      </c>
      <c r="C158" s="8" t="s">
        <v>78</v>
      </c>
      <c r="D158" s="8">
        <f t="shared" si="82"/>
        <v>29.300000000000011</v>
      </c>
      <c r="E158" s="8">
        <f t="shared" si="82"/>
        <v>42.100000000000023</v>
      </c>
      <c r="F158" s="36">
        <f t="shared" si="77"/>
        <v>0.43686006825938595</v>
      </c>
      <c r="G158" s="36">
        <f t="shared" si="78"/>
        <v>1</v>
      </c>
      <c r="H158" s="36">
        <f t="shared" si="79"/>
        <v>1</v>
      </c>
      <c r="J158" s="8"/>
      <c r="K158" s="8" t="s">
        <v>78</v>
      </c>
      <c r="L158" s="8">
        <v>226.5</v>
      </c>
      <c r="M158" s="8">
        <v>288.3</v>
      </c>
      <c r="N158" s="36">
        <f>M158/L158-1</f>
        <v>0.2728476821192054</v>
      </c>
      <c r="O158" s="36">
        <f>L158/L$158</f>
        <v>1</v>
      </c>
      <c r="P158" s="36">
        <f>M158/M$158</f>
        <v>1</v>
      </c>
      <c r="R158" s="159"/>
      <c r="S158" s="159"/>
      <c r="T158" s="159"/>
      <c r="U158" s="159"/>
      <c r="V158" s="160"/>
      <c r="W158" s="160"/>
      <c r="X158" s="160"/>
    </row>
    <row r="159" spans="1:32" ht="14" customHeight="1" x14ac:dyDescent="0.25">
      <c r="A159" s="154"/>
      <c r="J159" s="15"/>
      <c r="L159" s="15"/>
      <c r="M159" s="15"/>
      <c r="N159" s="15"/>
      <c r="O159" s="15"/>
      <c r="P159" s="15"/>
    </row>
    <row r="160" spans="1:32" ht="14" customHeight="1" x14ac:dyDescent="0.25">
      <c r="A160" s="154"/>
      <c r="B160" s="10" t="s">
        <v>716</v>
      </c>
      <c r="J160" s="10" t="s">
        <v>717</v>
      </c>
    </row>
    <row r="161" spans="1:16" ht="14" customHeight="1" x14ac:dyDescent="0.25">
      <c r="A161" s="154"/>
      <c r="B161" s="144" t="s">
        <v>582</v>
      </c>
      <c r="C161" s="144" t="s">
        <v>335</v>
      </c>
      <c r="D161" s="145">
        <v>45474</v>
      </c>
      <c r="E161" s="145">
        <v>45839</v>
      </c>
      <c r="F161" s="144" t="s">
        <v>34</v>
      </c>
      <c r="G161" s="144" t="s">
        <v>669</v>
      </c>
      <c r="H161" s="144" t="s">
        <v>670</v>
      </c>
      <c r="J161" s="144" t="s">
        <v>582</v>
      </c>
      <c r="K161" s="144" t="s">
        <v>335</v>
      </c>
      <c r="L161" s="144" t="s">
        <v>679</v>
      </c>
      <c r="M161" s="144" t="s">
        <v>680</v>
      </c>
      <c r="N161" s="144" t="s">
        <v>34</v>
      </c>
      <c r="O161" s="144" t="s">
        <v>669</v>
      </c>
      <c r="P161" s="144" t="s">
        <v>670</v>
      </c>
    </row>
    <row r="162" spans="1:16" ht="14" customHeight="1" x14ac:dyDescent="0.25">
      <c r="A162" s="154"/>
      <c r="B162" s="161">
        <v>1</v>
      </c>
      <c r="C162" s="161" t="s">
        <v>68</v>
      </c>
      <c r="D162" s="161">
        <v>7.6</v>
      </c>
      <c r="E162" s="161">
        <v>11.2</v>
      </c>
      <c r="F162" s="144">
        <v>0.47370000000000001</v>
      </c>
      <c r="G162" s="144">
        <v>0.26950000000000002</v>
      </c>
      <c r="H162" s="144">
        <v>0.30270000000000002</v>
      </c>
      <c r="J162" s="161">
        <v>1</v>
      </c>
      <c r="K162" s="161" t="s">
        <v>68</v>
      </c>
      <c r="L162" s="161">
        <v>54.2</v>
      </c>
      <c r="M162" s="161">
        <v>73.3</v>
      </c>
      <c r="N162" s="144">
        <v>0.35099999999999998</v>
      </c>
      <c r="O162" s="144">
        <v>0.27500000000000002</v>
      </c>
      <c r="P162" s="144">
        <v>0.29799999999999999</v>
      </c>
    </row>
    <row r="163" spans="1:16" ht="14" customHeight="1" x14ac:dyDescent="0.25">
      <c r="A163" s="154"/>
      <c r="B163" s="161">
        <v>2</v>
      </c>
      <c r="C163" s="161" t="s">
        <v>127</v>
      </c>
      <c r="D163" s="161">
        <v>5.9</v>
      </c>
      <c r="E163" s="161">
        <v>7.9</v>
      </c>
      <c r="F163" s="144">
        <v>0.33900000000000002</v>
      </c>
      <c r="G163" s="144">
        <v>0.2092</v>
      </c>
      <c r="H163" s="144">
        <v>0.2135</v>
      </c>
      <c r="J163" s="161">
        <v>2</v>
      </c>
      <c r="K163" s="161" t="s">
        <v>127</v>
      </c>
      <c r="L163" s="161">
        <v>48</v>
      </c>
      <c r="M163" s="161">
        <v>50.9</v>
      </c>
      <c r="N163" s="144">
        <v>6.2E-2</v>
      </c>
      <c r="O163" s="144">
        <v>0.24299999999999999</v>
      </c>
      <c r="P163" s="144">
        <v>0.20699999999999999</v>
      </c>
    </row>
    <row r="164" spans="1:16" ht="14" customHeight="1" x14ac:dyDescent="0.25">
      <c r="A164" s="154"/>
      <c r="B164" s="161">
        <v>3</v>
      </c>
      <c r="C164" s="161" t="s">
        <v>25</v>
      </c>
      <c r="D164" s="161">
        <v>3.3</v>
      </c>
      <c r="E164" s="161">
        <v>5</v>
      </c>
      <c r="F164" s="144">
        <v>0.51519999999999999</v>
      </c>
      <c r="G164" s="144">
        <v>0.11700000000000001</v>
      </c>
      <c r="H164" s="144">
        <v>0.1351</v>
      </c>
      <c r="J164" s="161">
        <v>3</v>
      </c>
      <c r="K164" s="161" t="s">
        <v>25</v>
      </c>
      <c r="L164" s="161">
        <v>21</v>
      </c>
      <c r="M164" s="161">
        <v>24.6</v>
      </c>
      <c r="N164" s="144">
        <v>0.17299999999999999</v>
      </c>
      <c r="O164" s="144">
        <v>0.106</v>
      </c>
      <c r="P164" s="144">
        <v>0.1</v>
      </c>
    </row>
    <row r="165" spans="1:16" ht="14" customHeight="1" x14ac:dyDescent="0.25">
      <c r="A165" s="154"/>
      <c r="B165" s="161">
        <v>4</v>
      </c>
      <c r="C165" s="161" t="s">
        <v>72</v>
      </c>
      <c r="D165" s="161">
        <v>2.6</v>
      </c>
      <c r="E165" s="161">
        <v>2.6</v>
      </c>
      <c r="F165" s="144">
        <v>0</v>
      </c>
      <c r="G165" s="144">
        <v>9.2200000000000004E-2</v>
      </c>
      <c r="H165" s="144">
        <v>7.0300000000000001E-2</v>
      </c>
      <c r="J165" s="161">
        <v>4</v>
      </c>
      <c r="K165" s="161" t="s">
        <v>72</v>
      </c>
      <c r="L165" s="161">
        <v>19.100000000000001</v>
      </c>
      <c r="M165" s="161">
        <v>21.4</v>
      </c>
      <c r="N165" s="144">
        <v>0.124</v>
      </c>
      <c r="O165" s="144">
        <v>9.7000000000000003E-2</v>
      </c>
      <c r="P165" s="144">
        <v>8.6999999999999994E-2</v>
      </c>
    </row>
    <row r="166" spans="1:16" ht="14" customHeight="1" x14ac:dyDescent="0.25">
      <c r="A166" s="154"/>
      <c r="B166" s="161">
        <v>5</v>
      </c>
      <c r="C166" s="161" t="s">
        <v>69</v>
      </c>
      <c r="D166" s="161">
        <v>1.4</v>
      </c>
      <c r="E166" s="161">
        <v>2.7</v>
      </c>
      <c r="F166" s="144">
        <v>0.92859999999999998</v>
      </c>
      <c r="G166" s="144">
        <v>4.9599999999999998E-2</v>
      </c>
      <c r="H166" s="144">
        <v>7.2999999999999995E-2</v>
      </c>
      <c r="J166" s="161">
        <v>5</v>
      </c>
      <c r="K166" s="161" t="s">
        <v>69</v>
      </c>
      <c r="L166" s="161">
        <v>7.6</v>
      </c>
      <c r="M166" s="161">
        <v>18.399999999999999</v>
      </c>
      <c r="N166" s="144">
        <v>1.417</v>
      </c>
      <c r="O166" s="144">
        <v>3.9E-2</v>
      </c>
      <c r="P166" s="144">
        <v>7.4999999999999997E-2</v>
      </c>
    </row>
    <row r="167" spans="1:16" ht="14" customHeight="1" x14ac:dyDescent="0.25">
      <c r="A167" s="154"/>
      <c r="B167" s="161">
        <v>6</v>
      </c>
      <c r="C167" s="161" t="s">
        <v>128</v>
      </c>
      <c r="D167" s="161">
        <v>2.4</v>
      </c>
      <c r="E167" s="161">
        <v>1.7</v>
      </c>
      <c r="F167" s="144">
        <v>-0.29170000000000001</v>
      </c>
      <c r="G167" s="144">
        <v>8.5099999999999995E-2</v>
      </c>
      <c r="H167" s="144">
        <v>4.5900000000000003E-2</v>
      </c>
      <c r="J167" s="161">
        <v>6</v>
      </c>
      <c r="K167" s="161" t="s">
        <v>128</v>
      </c>
      <c r="L167" s="161">
        <v>19.7</v>
      </c>
      <c r="M167" s="161">
        <v>17.7</v>
      </c>
      <c r="N167" s="144">
        <v>-0.104</v>
      </c>
      <c r="O167" s="144">
        <v>0.1</v>
      </c>
      <c r="P167" s="144">
        <v>7.1999999999999995E-2</v>
      </c>
    </row>
    <row r="168" spans="1:16" ht="14" customHeight="1" x14ac:dyDescent="0.25">
      <c r="A168" s="154"/>
      <c r="B168" s="161">
        <v>7</v>
      </c>
      <c r="C168" s="161" t="s">
        <v>357</v>
      </c>
      <c r="D168" s="161">
        <v>0.5</v>
      </c>
      <c r="E168" s="161">
        <v>0.6</v>
      </c>
      <c r="F168" s="144">
        <v>0.2</v>
      </c>
      <c r="G168" s="144">
        <v>1.77E-2</v>
      </c>
      <c r="H168" s="144">
        <v>1.6199999999999999E-2</v>
      </c>
      <c r="J168" s="161">
        <v>7</v>
      </c>
      <c r="K168" s="161" t="s">
        <v>357</v>
      </c>
      <c r="L168" s="161">
        <v>4.0999999999999996</v>
      </c>
      <c r="M168" s="161">
        <v>5.4</v>
      </c>
      <c r="N168" s="144">
        <v>0.33</v>
      </c>
      <c r="O168" s="144">
        <v>2.1000000000000001E-2</v>
      </c>
      <c r="P168" s="144">
        <v>2.1999999999999999E-2</v>
      </c>
    </row>
    <row r="169" spans="1:16" ht="14" customHeight="1" x14ac:dyDescent="0.25">
      <c r="A169" s="154"/>
      <c r="B169" s="161">
        <v>8</v>
      </c>
      <c r="C169" s="144" t="s">
        <v>74</v>
      </c>
      <c r="D169" s="161">
        <v>0.3</v>
      </c>
      <c r="E169" s="161">
        <v>1</v>
      </c>
      <c r="F169" s="144">
        <v>2.3332999999999999</v>
      </c>
      <c r="G169" s="144">
        <v>1.06E-2</v>
      </c>
      <c r="H169" s="144">
        <v>2.7E-2</v>
      </c>
      <c r="J169" s="161">
        <v>8</v>
      </c>
      <c r="K169" s="144" t="s">
        <v>74</v>
      </c>
      <c r="L169" s="161">
        <v>0.6</v>
      </c>
      <c r="M169" s="161">
        <v>4.8</v>
      </c>
      <c r="N169" s="144">
        <v>7.23</v>
      </c>
      <c r="O169" s="144">
        <v>3.0000000000000001E-3</v>
      </c>
      <c r="P169" s="144">
        <v>0.02</v>
      </c>
    </row>
    <row r="170" spans="1:16" ht="14" customHeight="1" x14ac:dyDescent="0.25">
      <c r="A170" s="154"/>
      <c r="B170" s="161">
        <v>9</v>
      </c>
      <c r="C170" s="161" t="s">
        <v>70</v>
      </c>
      <c r="D170" s="161">
        <v>0.6</v>
      </c>
      <c r="E170" s="161">
        <v>0.8</v>
      </c>
      <c r="F170" s="144">
        <v>0.33329999999999999</v>
      </c>
      <c r="G170" s="144">
        <v>2.1299999999999999E-2</v>
      </c>
      <c r="H170" s="144">
        <v>2.1600000000000001E-2</v>
      </c>
      <c r="J170" s="161">
        <v>9</v>
      </c>
      <c r="K170" s="161" t="s">
        <v>70</v>
      </c>
      <c r="L170" s="161">
        <v>2.6</v>
      </c>
      <c r="M170" s="161">
        <v>4.7</v>
      </c>
      <c r="N170" s="144">
        <v>0.77700000000000002</v>
      </c>
      <c r="O170" s="144">
        <v>1.2999999999999999E-2</v>
      </c>
      <c r="P170" s="144">
        <v>1.9E-2</v>
      </c>
    </row>
    <row r="171" spans="1:16" ht="14" customHeight="1" x14ac:dyDescent="0.25">
      <c r="A171" s="154"/>
      <c r="B171" s="161">
        <v>10</v>
      </c>
      <c r="C171" s="161" t="s">
        <v>705</v>
      </c>
      <c r="D171" s="161">
        <v>1</v>
      </c>
      <c r="E171" s="161">
        <v>0.5</v>
      </c>
      <c r="F171" s="144">
        <v>-0.5</v>
      </c>
      <c r="G171" s="144">
        <v>3.5499999999999997E-2</v>
      </c>
      <c r="H171" s="144">
        <v>1.35E-2</v>
      </c>
      <c r="J171" s="161">
        <v>10</v>
      </c>
      <c r="K171" s="161" t="s">
        <v>705</v>
      </c>
      <c r="L171" s="161">
        <v>2.4</v>
      </c>
      <c r="M171" s="161">
        <v>4.4000000000000004</v>
      </c>
      <c r="N171" s="144">
        <v>0.83</v>
      </c>
      <c r="O171" s="144">
        <v>1.2E-2</v>
      </c>
      <c r="P171" s="144">
        <v>1.7999999999999999E-2</v>
      </c>
    </row>
    <row r="172" spans="1:16" ht="14" customHeight="1" x14ac:dyDescent="0.25">
      <c r="A172" s="154"/>
      <c r="B172" s="161" t="s">
        <v>77</v>
      </c>
      <c r="C172" s="161" t="s">
        <v>77</v>
      </c>
      <c r="D172" s="161">
        <v>2.7</v>
      </c>
      <c r="E172" s="161">
        <v>3</v>
      </c>
      <c r="F172" s="144">
        <v>0.1111</v>
      </c>
      <c r="G172" s="144">
        <v>9.5699999999999993E-2</v>
      </c>
      <c r="H172" s="144">
        <v>8.1100000000000005E-2</v>
      </c>
      <c r="J172" s="161"/>
      <c r="K172" s="161" t="s">
        <v>77</v>
      </c>
      <c r="L172" s="161">
        <v>17.899999999999999</v>
      </c>
      <c r="M172" s="161">
        <v>20.6</v>
      </c>
      <c r="N172" s="144">
        <v>0.151</v>
      </c>
      <c r="O172" s="144">
        <v>9.0999999999999998E-2</v>
      </c>
      <c r="P172" s="144">
        <v>8.4000000000000005E-2</v>
      </c>
    </row>
    <row r="173" spans="1:16" ht="14" customHeight="1" x14ac:dyDescent="0.25">
      <c r="A173" s="154"/>
      <c r="B173" s="161" t="s">
        <v>78</v>
      </c>
      <c r="C173" s="161" t="s">
        <v>78</v>
      </c>
      <c r="D173" s="161">
        <v>28.2</v>
      </c>
      <c r="E173" s="161">
        <v>37</v>
      </c>
      <c r="F173" s="144">
        <v>0.312</v>
      </c>
      <c r="G173" s="144">
        <v>1</v>
      </c>
      <c r="H173" s="144">
        <v>1</v>
      </c>
      <c r="J173" s="161"/>
      <c r="K173" s="161" t="s">
        <v>78</v>
      </c>
      <c r="L173" s="161">
        <v>197.2</v>
      </c>
      <c r="M173" s="161">
        <v>246.2</v>
      </c>
      <c r="N173" s="144">
        <v>0.249</v>
      </c>
      <c r="O173" s="144">
        <v>1</v>
      </c>
      <c r="P173" s="144">
        <v>1</v>
      </c>
    </row>
    <row r="174" spans="1:16" ht="14" customHeight="1" x14ac:dyDescent="0.25">
      <c r="A174" s="154"/>
    </row>
    <row r="175" spans="1:16" ht="14" customHeight="1" x14ac:dyDescent="0.25">
      <c r="A175" s="154"/>
      <c r="B175" s="10" t="s">
        <v>718</v>
      </c>
      <c r="J175" s="10" t="s">
        <v>719</v>
      </c>
    </row>
    <row r="176" spans="1:16" ht="14" customHeight="1" x14ac:dyDescent="0.25">
      <c r="A176" s="154"/>
      <c r="B176" s="37" t="s">
        <v>96</v>
      </c>
      <c r="C176" s="7" t="s">
        <v>381</v>
      </c>
      <c r="D176" s="146">
        <v>45444</v>
      </c>
      <c r="E176" s="146">
        <v>45809</v>
      </c>
      <c r="F176" s="7" t="s">
        <v>34</v>
      </c>
      <c r="G176" s="7" t="s">
        <v>97</v>
      </c>
      <c r="H176" s="7" t="s">
        <v>681</v>
      </c>
      <c r="J176" s="144" t="s">
        <v>582</v>
      </c>
      <c r="K176" s="144" t="s">
        <v>335</v>
      </c>
      <c r="L176" s="144" t="s">
        <v>682</v>
      </c>
      <c r="M176" s="144" t="s">
        <v>683</v>
      </c>
      <c r="N176" s="144" t="s">
        <v>34</v>
      </c>
      <c r="O176" s="144" t="s">
        <v>669</v>
      </c>
      <c r="P176" s="144" t="s">
        <v>670</v>
      </c>
    </row>
    <row r="177" spans="1:16" ht="14" customHeight="1" x14ac:dyDescent="0.25">
      <c r="A177" s="154"/>
      <c r="B177" s="161">
        <v>1</v>
      </c>
      <c r="C177" s="161" t="s">
        <v>68</v>
      </c>
      <c r="D177" s="161">
        <v>9.8000000000000007</v>
      </c>
      <c r="E177" s="161">
        <v>11.7</v>
      </c>
      <c r="F177" s="144">
        <v>0.19389999999999999</v>
      </c>
      <c r="G177" s="144">
        <v>0.28239999999999998</v>
      </c>
      <c r="H177" s="144">
        <v>0.29320000000000002</v>
      </c>
      <c r="J177" s="161">
        <v>1</v>
      </c>
      <c r="K177" s="161" t="s">
        <v>68</v>
      </c>
      <c r="L177" s="161">
        <v>46.6</v>
      </c>
      <c r="M177" s="161">
        <v>62.1</v>
      </c>
      <c r="N177" s="144">
        <v>0.33200000000000002</v>
      </c>
      <c r="O177" s="144">
        <v>0.27600000000000002</v>
      </c>
      <c r="P177" s="144">
        <v>0.29699999999999999</v>
      </c>
    </row>
    <row r="178" spans="1:16" ht="14" customHeight="1" x14ac:dyDescent="0.25">
      <c r="A178" s="154"/>
      <c r="B178" s="161">
        <v>2</v>
      </c>
      <c r="C178" s="161" t="s">
        <v>127</v>
      </c>
      <c r="D178" s="161">
        <v>9.8000000000000007</v>
      </c>
      <c r="E178" s="161">
        <v>6.5</v>
      </c>
      <c r="F178" s="144">
        <v>-0.3367</v>
      </c>
      <c r="G178" s="144">
        <v>0.28239999999999998</v>
      </c>
      <c r="H178" s="144">
        <v>0.16289999999999999</v>
      </c>
      <c r="J178" s="161">
        <v>2</v>
      </c>
      <c r="K178" s="161" t="s">
        <v>127</v>
      </c>
      <c r="L178" s="161">
        <v>42.1</v>
      </c>
      <c r="M178" s="161">
        <v>43</v>
      </c>
      <c r="N178" s="144">
        <v>2.1999999999999999E-2</v>
      </c>
      <c r="O178" s="144">
        <v>0.249</v>
      </c>
      <c r="P178" s="144">
        <v>0.20499999999999999</v>
      </c>
    </row>
    <row r="179" spans="1:16" ht="14" customHeight="1" x14ac:dyDescent="0.25">
      <c r="A179" s="154"/>
      <c r="B179" s="161">
        <v>3</v>
      </c>
      <c r="C179" s="161" t="s">
        <v>25</v>
      </c>
      <c r="D179" s="161">
        <v>3.5</v>
      </c>
      <c r="E179" s="161">
        <v>2.8</v>
      </c>
      <c r="F179" s="144">
        <v>-0.2</v>
      </c>
      <c r="G179" s="144">
        <v>0.1009</v>
      </c>
      <c r="H179" s="144">
        <v>7.0199999999999999E-2</v>
      </c>
      <c r="J179" s="161">
        <v>3</v>
      </c>
      <c r="K179" s="161" t="s">
        <v>25</v>
      </c>
      <c r="L179" s="161">
        <v>17.7</v>
      </c>
      <c r="M179" s="161">
        <v>19.600000000000001</v>
      </c>
      <c r="N179" s="144">
        <v>0.106</v>
      </c>
      <c r="O179" s="144">
        <v>0.105</v>
      </c>
      <c r="P179" s="144">
        <v>9.2999999999999999E-2</v>
      </c>
    </row>
    <row r="180" spans="1:16" ht="14" customHeight="1" x14ac:dyDescent="0.25">
      <c r="A180" s="154"/>
      <c r="B180" s="161">
        <v>4</v>
      </c>
      <c r="C180" s="161" t="s">
        <v>72</v>
      </c>
      <c r="D180" s="161">
        <v>3.1</v>
      </c>
      <c r="E180" s="161">
        <v>7.1</v>
      </c>
      <c r="F180" s="144">
        <v>1.2903</v>
      </c>
      <c r="G180" s="144">
        <v>8.9300000000000004E-2</v>
      </c>
      <c r="H180" s="144">
        <v>0.1779</v>
      </c>
      <c r="J180" s="161">
        <v>4</v>
      </c>
      <c r="K180" s="161" t="s">
        <v>72</v>
      </c>
      <c r="L180" s="161">
        <v>16.5</v>
      </c>
      <c r="M180" s="161">
        <v>18.8</v>
      </c>
      <c r="N180" s="144">
        <v>0.14399999999999999</v>
      </c>
      <c r="O180" s="144">
        <v>9.7000000000000003E-2</v>
      </c>
      <c r="P180" s="144">
        <v>0.09</v>
      </c>
    </row>
    <row r="181" spans="1:16" ht="14" customHeight="1" x14ac:dyDescent="0.25">
      <c r="A181" s="154"/>
      <c r="B181" s="161">
        <v>5</v>
      </c>
      <c r="C181" s="161" t="s">
        <v>128</v>
      </c>
      <c r="D181" s="161">
        <v>3</v>
      </c>
      <c r="E181" s="161">
        <v>2.9</v>
      </c>
      <c r="F181" s="144">
        <v>-3.3300000000000003E-2</v>
      </c>
      <c r="G181" s="144">
        <v>8.6499999999999994E-2</v>
      </c>
      <c r="H181" s="144">
        <v>7.2700000000000001E-2</v>
      </c>
      <c r="J181" s="161">
        <v>5</v>
      </c>
      <c r="K181" s="161" t="s">
        <v>128</v>
      </c>
      <c r="L181" s="161">
        <v>17.3</v>
      </c>
      <c r="M181" s="161">
        <v>16</v>
      </c>
      <c r="N181" s="144">
        <v>-7.8E-2</v>
      </c>
      <c r="O181" s="144">
        <v>0.10299999999999999</v>
      </c>
      <c r="P181" s="144">
        <v>7.5999999999999998E-2</v>
      </c>
    </row>
    <row r="182" spans="1:16" ht="14" customHeight="1" x14ac:dyDescent="0.25">
      <c r="A182" s="154"/>
      <c r="B182" s="161">
        <v>6</v>
      </c>
      <c r="C182" s="161" t="s">
        <v>69</v>
      </c>
      <c r="D182" s="161">
        <v>1.2</v>
      </c>
      <c r="E182" s="161">
        <v>3.4</v>
      </c>
      <c r="F182" s="144">
        <v>1.8332999999999999</v>
      </c>
      <c r="G182" s="144">
        <v>3.4599999999999999E-2</v>
      </c>
      <c r="H182" s="144">
        <v>8.5199999999999998E-2</v>
      </c>
      <c r="J182" s="161">
        <v>6</v>
      </c>
      <c r="K182" s="161" t="s">
        <v>69</v>
      </c>
      <c r="L182" s="161">
        <v>6.2</v>
      </c>
      <c r="M182" s="161">
        <v>15.7</v>
      </c>
      <c r="N182" s="144">
        <v>1.53</v>
      </c>
      <c r="O182" s="144">
        <v>3.6999999999999998E-2</v>
      </c>
      <c r="P182" s="144">
        <v>7.4999999999999997E-2</v>
      </c>
    </row>
    <row r="183" spans="1:16" ht="14" customHeight="1" x14ac:dyDescent="0.25">
      <c r="A183" s="154"/>
      <c r="B183" s="161">
        <v>7</v>
      </c>
      <c r="C183" s="161" t="s">
        <v>357</v>
      </c>
      <c r="D183" s="161">
        <v>0.5</v>
      </c>
      <c r="E183" s="161">
        <v>0.9</v>
      </c>
      <c r="F183" s="144">
        <v>0.8</v>
      </c>
      <c r="G183" s="144">
        <v>1.44E-2</v>
      </c>
      <c r="H183" s="144">
        <v>2.2599999999999999E-2</v>
      </c>
      <c r="J183" s="161">
        <v>7</v>
      </c>
      <c r="K183" s="161" t="s">
        <v>357</v>
      </c>
      <c r="L183" s="161">
        <v>3.6</v>
      </c>
      <c r="M183" s="161">
        <v>4.8</v>
      </c>
      <c r="N183" s="144">
        <v>0.33700000000000002</v>
      </c>
      <c r="O183" s="144">
        <v>2.1000000000000001E-2</v>
      </c>
      <c r="P183" s="144">
        <v>2.3E-2</v>
      </c>
    </row>
    <row r="184" spans="1:16" ht="14" customHeight="1" x14ac:dyDescent="0.25">
      <c r="A184" s="154"/>
      <c r="B184" s="161">
        <v>8</v>
      </c>
      <c r="C184" s="144" t="s">
        <v>705</v>
      </c>
      <c r="D184" s="161">
        <v>0.4</v>
      </c>
      <c r="E184" s="161">
        <v>0.3</v>
      </c>
      <c r="F184" s="144">
        <v>-0.25</v>
      </c>
      <c r="G184" s="144">
        <v>1.15E-2</v>
      </c>
      <c r="H184" s="144">
        <v>7.4999999999999997E-3</v>
      </c>
      <c r="J184" s="161">
        <v>8</v>
      </c>
      <c r="K184" s="144" t="s">
        <v>705</v>
      </c>
      <c r="L184" s="161">
        <v>1.4</v>
      </c>
      <c r="M184" s="161">
        <v>3.9</v>
      </c>
      <c r="N184" s="144">
        <v>1.756</v>
      </c>
      <c r="O184" s="144">
        <v>8.0000000000000002E-3</v>
      </c>
      <c r="P184" s="144">
        <v>1.9E-2</v>
      </c>
    </row>
    <row r="185" spans="1:16" ht="14" customHeight="1" x14ac:dyDescent="0.25">
      <c r="A185" s="154"/>
      <c r="B185" s="161">
        <v>9</v>
      </c>
      <c r="C185" s="161" t="s">
        <v>70</v>
      </c>
      <c r="D185" s="161">
        <v>0.4</v>
      </c>
      <c r="E185" s="161">
        <v>0.4</v>
      </c>
      <c r="F185" s="144">
        <v>0</v>
      </c>
      <c r="G185" s="144">
        <v>1.15E-2</v>
      </c>
      <c r="H185" s="144">
        <v>0.01</v>
      </c>
      <c r="J185" s="161">
        <v>9</v>
      </c>
      <c r="K185" s="161" t="s">
        <v>70</v>
      </c>
      <c r="L185" s="161">
        <v>2</v>
      </c>
      <c r="M185" s="161">
        <v>3.9</v>
      </c>
      <c r="N185" s="144">
        <v>0.98199999999999998</v>
      </c>
      <c r="O185" s="144">
        <v>1.2E-2</v>
      </c>
      <c r="P185" s="144">
        <v>1.9E-2</v>
      </c>
    </row>
    <row r="186" spans="1:16" ht="14" customHeight="1" x14ac:dyDescent="0.25">
      <c r="A186" s="154"/>
      <c r="B186" s="161">
        <v>10</v>
      </c>
      <c r="C186" s="161" t="s">
        <v>74</v>
      </c>
      <c r="D186" s="161" t="s">
        <v>319</v>
      </c>
      <c r="E186" s="161" t="s">
        <v>319</v>
      </c>
      <c r="F186" s="161" t="s">
        <v>319</v>
      </c>
      <c r="G186" s="161" t="s">
        <v>319</v>
      </c>
      <c r="H186" s="161" t="s">
        <v>319</v>
      </c>
      <c r="J186" s="161">
        <v>10</v>
      </c>
      <c r="K186" s="161" t="s">
        <v>74</v>
      </c>
      <c r="L186" s="161">
        <v>0.3</v>
      </c>
      <c r="M186" s="161">
        <v>3.8</v>
      </c>
      <c r="N186" s="144">
        <v>10.432</v>
      </c>
      <c r="O186" s="144">
        <v>2E-3</v>
      </c>
      <c r="P186" s="144">
        <v>1.7999999999999999E-2</v>
      </c>
    </row>
    <row r="187" spans="1:16" ht="14" customHeight="1" x14ac:dyDescent="0.25">
      <c r="A187" s="154"/>
      <c r="B187" s="161"/>
      <c r="C187" s="161" t="s">
        <v>77</v>
      </c>
      <c r="D187" s="161">
        <f>D188-SUM(D177:D185)</f>
        <v>3.0000000000000036</v>
      </c>
      <c r="E187" s="161">
        <f>E188-SUM(E177:E185)</f>
        <v>3.9000000000000057</v>
      </c>
      <c r="F187" s="144">
        <f>E187/D187-1</f>
        <v>0.30000000000000027</v>
      </c>
      <c r="G187" s="144">
        <f>D187/D188</f>
        <v>8.6455331412103847E-2</v>
      </c>
      <c r="H187" s="144">
        <f>E187/E188</f>
        <v>9.7744360902255786E-2</v>
      </c>
      <c r="J187" s="161"/>
      <c r="K187" s="161" t="s">
        <v>77</v>
      </c>
      <c r="L187" s="161">
        <v>15.2</v>
      </c>
      <c r="M187" s="161">
        <v>17.600000000000001</v>
      </c>
      <c r="N187" s="144">
        <v>0.152</v>
      </c>
      <c r="O187" s="144">
        <v>0.09</v>
      </c>
      <c r="P187" s="144">
        <v>8.4000000000000005E-2</v>
      </c>
    </row>
    <row r="188" spans="1:16" ht="14" customHeight="1" x14ac:dyDescent="0.25">
      <c r="A188" s="154"/>
      <c r="B188" s="161"/>
      <c r="C188" s="161" t="s">
        <v>78</v>
      </c>
      <c r="D188" s="161">
        <v>34.700000000000003</v>
      </c>
      <c r="E188" s="161">
        <v>39.9</v>
      </c>
      <c r="F188" s="144">
        <v>0.14990000000000001</v>
      </c>
      <c r="G188" s="144">
        <v>1</v>
      </c>
      <c r="H188" s="144">
        <v>1</v>
      </c>
      <c r="J188" s="161"/>
      <c r="K188" s="161" t="s">
        <v>78</v>
      </c>
      <c r="L188" s="161">
        <v>169</v>
      </c>
      <c r="M188" s="161">
        <v>209.2</v>
      </c>
      <c r="N188" s="144">
        <v>0.23799999999999999</v>
      </c>
      <c r="O188" s="144">
        <v>1</v>
      </c>
      <c r="P188" s="144">
        <v>1</v>
      </c>
    </row>
    <row r="189" spans="1:16" ht="14" customHeight="1" x14ac:dyDescent="0.25">
      <c r="A189" s="154"/>
      <c r="J189" s="10"/>
    </row>
    <row r="190" spans="1:16" ht="14" customHeight="1" x14ac:dyDescent="0.25">
      <c r="A190" s="154"/>
      <c r="B190" s="10" t="s">
        <v>720</v>
      </c>
      <c r="J190" s="10" t="s">
        <v>721</v>
      </c>
    </row>
    <row r="191" spans="1:16" ht="14" customHeight="1" x14ac:dyDescent="0.25">
      <c r="A191" s="154"/>
      <c r="B191" s="37" t="s">
        <v>96</v>
      </c>
      <c r="C191" s="7" t="s">
        <v>381</v>
      </c>
      <c r="D191" s="146">
        <v>45413</v>
      </c>
      <c r="E191" s="146">
        <v>45778</v>
      </c>
      <c r="F191" s="7" t="s">
        <v>34</v>
      </c>
      <c r="G191" s="7" t="s">
        <v>684</v>
      </c>
      <c r="H191" s="7" t="s">
        <v>685</v>
      </c>
      <c r="J191" s="144" t="s">
        <v>582</v>
      </c>
      <c r="K191" s="144" t="s">
        <v>335</v>
      </c>
      <c r="L191" s="144" t="s">
        <v>686</v>
      </c>
      <c r="M191" s="144" t="s">
        <v>687</v>
      </c>
      <c r="N191" s="144" t="s">
        <v>34</v>
      </c>
      <c r="O191" s="144" t="s">
        <v>669</v>
      </c>
      <c r="P191" s="144" t="s">
        <v>670</v>
      </c>
    </row>
    <row r="192" spans="1:16" ht="14" customHeight="1" x14ac:dyDescent="0.25">
      <c r="A192" s="154"/>
      <c r="B192" s="37">
        <v>1</v>
      </c>
      <c r="C192" s="7" t="s">
        <v>98</v>
      </c>
      <c r="D192" s="7">
        <v>7.9</v>
      </c>
      <c r="E192" s="7">
        <v>11.1</v>
      </c>
      <c r="F192" s="38">
        <v>0.40500000000000003</v>
      </c>
      <c r="G192" s="38">
        <v>0.26600000000000001</v>
      </c>
      <c r="H192" s="38">
        <v>0.30199999999999999</v>
      </c>
      <c r="J192" s="161">
        <v>1</v>
      </c>
      <c r="K192" s="161" t="s">
        <v>68</v>
      </c>
      <c r="L192" s="161">
        <v>36.799999999999997</v>
      </c>
      <c r="M192" s="161">
        <v>50.4</v>
      </c>
      <c r="N192" s="144">
        <v>0.36699999999999999</v>
      </c>
      <c r="O192" s="144">
        <v>0.27400000000000002</v>
      </c>
      <c r="P192" s="144">
        <v>0.29799999999999999</v>
      </c>
    </row>
    <row r="193" spans="1:16" ht="14" customHeight="1" x14ac:dyDescent="0.25">
      <c r="A193" s="154"/>
      <c r="B193" s="37">
        <v>2</v>
      </c>
      <c r="C193" s="7" t="s">
        <v>172</v>
      </c>
      <c r="D193" s="7">
        <v>7.3</v>
      </c>
      <c r="E193" s="7">
        <v>7.6</v>
      </c>
      <c r="F193" s="38">
        <v>4.1000000000000002E-2</v>
      </c>
      <c r="G193" s="38">
        <v>0.246</v>
      </c>
      <c r="H193" s="38">
        <v>0.20699999999999999</v>
      </c>
      <c r="J193" s="161">
        <v>2</v>
      </c>
      <c r="K193" s="161" t="s">
        <v>127</v>
      </c>
      <c r="L193" s="161">
        <v>32.299999999999997</v>
      </c>
      <c r="M193" s="161">
        <v>36.5</v>
      </c>
      <c r="N193" s="144">
        <v>0.13</v>
      </c>
      <c r="O193" s="144">
        <v>0.24</v>
      </c>
      <c r="P193" s="144">
        <v>0.216</v>
      </c>
    </row>
    <row r="194" spans="1:16" ht="14" customHeight="1" x14ac:dyDescent="0.25">
      <c r="A194" s="154"/>
      <c r="B194" s="37">
        <v>3</v>
      </c>
      <c r="C194" s="7" t="s">
        <v>36</v>
      </c>
      <c r="D194" s="7">
        <v>3.4</v>
      </c>
      <c r="E194" s="7">
        <v>3.4</v>
      </c>
      <c r="F194" s="38">
        <v>0</v>
      </c>
      <c r="G194" s="38">
        <v>0.114</v>
      </c>
      <c r="H194" s="38">
        <v>9.2999999999999999E-2</v>
      </c>
      <c r="J194" s="161">
        <v>3</v>
      </c>
      <c r="K194" s="161" t="s">
        <v>36</v>
      </c>
      <c r="L194" s="161">
        <v>14.2</v>
      </c>
      <c r="M194" s="161">
        <v>16.8</v>
      </c>
      <c r="N194" s="144">
        <v>0.17899999999999999</v>
      </c>
      <c r="O194" s="144">
        <v>0.106</v>
      </c>
      <c r="P194" s="144">
        <v>9.9000000000000005E-2</v>
      </c>
    </row>
    <row r="195" spans="1:16" ht="14" customHeight="1" x14ac:dyDescent="0.25">
      <c r="A195" s="154"/>
      <c r="B195" s="37">
        <v>4</v>
      </c>
      <c r="C195" s="7" t="s">
        <v>99</v>
      </c>
      <c r="D195" s="7">
        <v>1</v>
      </c>
      <c r="E195" s="7">
        <v>3.2</v>
      </c>
      <c r="F195" s="38">
        <v>2.2000000000000002</v>
      </c>
      <c r="G195" s="38">
        <v>3.4000000000000002E-2</v>
      </c>
      <c r="H195" s="38">
        <v>8.6999999999999994E-2</v>
      </c>
      <c r="J195" s="161">
        <v>4</v>
      </c>
      <c r="K195" s="161" t="s">
        <v>128</v>
      </c>
      <c r="L195" s="161">
        <v>14.3</v>
      </c>
      <c r="M195" s="161">
        <v>13.1</v>
      </c>
      <c r="N195" s="144">
        <v>-8.5000000000000006E-2</v>
      </c>
      <c r="O195" s="144">
        <v>0.106</v>
      </c>
      <c r="P195" s="144">
        <v>7.6999999999999999E-2</v>
      </c>
    </row>
    <row r="196" spans="1:16" ht="14" customHeight="1" x14ac:dyDescent="0.25">
      <c r="A196" s="154"/>
      <c r="B196" s="37">
        <v>5</v>
      </c>
      <c r="C196" s="7" t="s">
        <v>102</v>
      </c>
      <c r="D196" s="7">
        <v>2.1</v>
      </c>
      <c r="E196" s="7">
        <v>2.9</v>
      </c>
      <c r="F196" s="38">
        <v>0.38100000000000001</v>
      </c>
      <c r="G196" s="38">
        <v>7.0999999999999994E-2</v>
      </c>
      <c r="H196" s="38">
        <v>7.9000000000000001E-2</v>
      </c>
      <c r="J196" s="161">
        <v>5</v>
      </c>
      <c r="K196" s="161" t="s">
        <v>69</v>
      </c>
      <c r="L196" s="161">
        <v>5</v>
      </c>
      <c r="M196" s="161">
        <v>12.3</v>
      </c>
      <c r="N196" s="144">
        <v>1.429</v>
      </c>
      <c r="O196" s="144">
        <v>3.7999999999999999E-2</v>
      </c>
      <c r="P196" s="144">
        <v>7.1999999999999995E-2</v>
      </c>
    </row>
    <row r="197" spans="1:16" ht="14" customHeight="1" x14ac:dyDescent="0.25">
      <c r="A197" s="154"/>
      <c r="B197" s="37">
        <v>6</v>
      </c>
      <c r="C197" s="7" t="s">
        <v>173</v>
      </c>
      <c r="D197" s="7">
        <v>2.7</v>
      </c>
      <c r="E197" s="7">
        <v>2.8</v>
      </c>
      <c r="F197" s="38">
        <v>3.6999999999999998E-2</v>
      </c>
      <c r="G197" s="38">
        <v>9.0999999999999998E-2</v>
      </c>
      <c r="H197" s="38">
        <v>7.5999999999999998E-2</v>
      </c>
      <c r="J197" s="161">
        <v>6</v>
      </c>
      <c r="K197" s="161" t="s">
        <v>72</v>
      </c>
      <c r="L197" s="161">
        <v>13.4</v>
      </c>
      <c r="M197" s="161">
        <v>11.7</v>
      </c>
      <c r="N197" s="144">
        <v>-0.129</v>
      </c>
      <c r="O197" s="144">
        <v>0.1</v>
      </c>
      <c r="P197" s="144">
        <v>6.9000000000000006E-2</v>
      </c>
    </row>
    <row r="198" spans="1:16" ht="14" customHeight="1" x14ac:dyDescent="0.25">
      <c r="A198" s="154"/>
      <c r="B198" s="37">
        <v>7</v>
      </c>
      <c r="C198" s="7" t="s">
        <v>185</v>
      </c>
      <c r="D198" s="7">
        <v>3.1</v>
      </c>
      <c r="E198" s="7">
        <v>2.2999999999999998</v>
      </c>
      <c r="F198" s="38">
        <v>-0.25800000000000001</v>
      </c>
      <c r="G198" s="38">
        <v>0.104</v>
      </c>
      <c r="H198" s="38">
        <v>6.3E-2</v>
      </c>
      <c r="J198" s="161">
        <v>7</v>
      </c>
      <c r="K198" s="161" t="s">
        <v>357</v>
      </c>
      <c r="L198" s="161">
        <v>3.1</v>
      </c>
      <c r="M198" s="161">
        <v>3.9</v>
      </c>
      <c r="N198" s="144">
        <v>0.28199999999999997</v>
      </c>
      <c r="O198" s="144">
        <v>2.3E-2</v>
      </c>
      <c r="P198" s="144">
        <v>2.3E-2</v>
      </c>
    </row>
    <row r="199" spans="1:16" ht="14" customHeight="1" x14ac:dyDescent="0.25">
      <c r="A199" s="154"/>
      <c r="B199" s="37">
        <v>8</v>
      </c>
      <c r="C199" s="7" t="s">
        <v>722</v>
      </c>
      <c r="D199" s="7">
        <v>0.7</v>
      </c>
      <c r="E199" s="7">
        <v>1</v>
      </c>
      <c r="F199" s="38">
        <v>0.42899999999999999</v>
      </c>
      <c r="G199" s="38">
        <v>2.4E-2</v>
      </c>
      <c r="H199" s="38">
        <v>2.7E-2</v>
      </c>
      <c r="J199" s="161">
        <v>8</v>
      </c>
      <c r="K199" s="161" t="s">
        <v>705</v>
      </c>
      <c r="L199" s="161">
        <v>1</v>
      </c>
      <c r="M199" s="161">
        <v>3.6</v>
      </c>
      <c r="N199" s="144">
        <v>2.73</v>
      </c>
      <c r="O199" s="144">
        <v>7.0000000000000001E-3</v>
      </c>
      <c r="P199" s="144">
        <v>2.1999999999999999E-2</v>
      </c>
    </row>
    <row r="200" spans="1:16" ht="14" customHeight="1" x14ac:dyDescent="0.25">
      <c r="A200" s="154"/>
      <c r="B200" s="37">
        <v>9</v>
      </c>
      <c r="C200" s="7" t="s">
        <v>101</v>
      </c>
      <c r="D200" s="7">
        <v>0.3</v>
      </c>
      <c r="E200" s="7">
        <v>0.9</v>
      </c>
      <c r="F200" s="38">
        <v>2</v>
      </c>
      <c r="G200" s="38">
        <v>0.01</v>
      </c>
      <c r="H200" s="38">
        <v>2.5000000000000001E-2</v>
      </c>
      <c r="J200" s="161">
        <v>9</v>
      </c>
      <c r="K200" s="161" t="s">
        <v>70</v>
      </c>
      <c r="L200" s="161">
        <v>1.6</v>
      </c>
      <c r="M200" s="161">
        <v>3.5</v>
      </c>
      <c r="N200" s="144">
        <v>1.1339999999999999</v>
      </c>
      <c r="O200" s="144">
        <v>1.2E-2</v>
      </c>
      <c r="P200" s="144">
        <v>2.1000000000000001E-2</v>
      </c>
    </row>
    <row r="201" spans="1:16" ht="14" customHeight="1" x14ac:dyDescent="0.25">
      <c r="A201" s="154"/>
      <c r="B201" s="37">
        <v>10</v>
      </c>
      <c r="C201" s="7" t="s">
        <v>100</v>
      </c>
      <c r="D201" s="7">
        <v>0.4</v>
      </c>
      <c r="E201" s="7">
        <v>0.8</v>
      </c>
      <c r="F201" s="38">
        <v>1</v>
      </c>
      <c r="G201" s="38">
        <v>1.2999999999999999E-2</v>
      </c>
      <c r="H201" s="38">
        <v>2.1999999999999999E-2</v>
      </c>
      <c r="J201" s="161">
        <v>10</v>
      </c>
      <c r="K201" s="161" t="s">
        <v>71</v>
      </c>
      <c r="L201" s="161">
        <v>2.2999999999999998</v>
      </c>
      <c r="M201" s="161">
        <v>3.3</v>
      </c>
      <c r="N201" s="144">
        <v>0.38700000000000001</v>
      </c>
      <c r="O201" s="144">
        <v>1.7000000000000001E-2</v>
      </c>
      <c r="P201" s="144">
        <v>1.9E-2</v>
      </c>
    </row>
    <row r="202" spans="1:16" ht="14" customHeight="1" x14ac:dyDescent="0.25">
      <c r="A202" s="154"/>
      <c r="B202" s="162"/>
      <c r="C202" s="163" t="s">
        <v>118</v>
      </c>
      <c r="D202" s="7">
        <v>2.6</v>
      </c>
      <c r="E202" s="7">
        <v>0.8</v>
      </c>
      <c r="F202" s="38">
        <v>0.33300000000000002</v>
      </c>
      <c r="G202" s="38">
        <v>0.02</v>
      </c>
      <c r="H202" s="38">
        <v>2.1999999999999999E-2</v>
      </c>
      <c r="J202" s="161" t="s">
        <v>31</v>
      </c>
      <c r="K202" s="161" t="s">
        <v>77</v>
      </c>
      <c r="L202" s="161">
        <v>10.199999999999999</v>
      </c>
      <c r="M202" s="161">
        <v>14.3</v>
      </c>
      <c r="N202" s="144">
        <v>0.40799999999999997</v>
      </c>
      <c r="O202" s="144">
        <v>7.5999999999999998E-2</v>
      </c>
      <c r="P202" s="144">
        <v>8.5000000000000006E-2</v>
      </c>
    </row>
    <row r="203" spans="1:16" ht="14" customHeight="1" x14ac:dyDescent="0.25">
      <c r="A203" s="154"/>
      <c r="B203" s="162"/>
      <c r="C203" s="163" t="s">
        <v>119</v>
      </c>
      <c r="D203" s="7">
        <v>29.7</v>
      </c>
      <c r="E203" s="7">
        <v>36.700000000000003</v>
      </c>
      <c r="F203" s="38">
        <v>0.23599999999999999</v>
      </c>
      <c r="G203" s="38">
        <v>1</v>
      </c>
      <c r="H203" s="38">
        <v>1</v>
      </c>
      <c r="J203" s="161"/>
      <c r="K203" s="161" t="s">
        <v>91</v>
      </c>
      <c r="L203" s="161">
        <v>134.30000000000001</v>
      </c>
      <c r="M203" s="161">
        <v>169.3</v>
      </c>
      <c r="N203" s="144">
        <v>0.26</v>
      </c>
      <c r="O203" s="144">
        <v>1</v>
      </c>
      <c r="P203" s="144">
        <v>1</v>
      </c>
    </row>
    <row r="204" spans="1:16" ht="14" customHeight="1" x14ac:dyDescent="0.25">
      <c r="A204" s="154"/>
      <c r="J204" s="10"/>
    </row>
    <row r="205" spans="1:16" ht="14" customHeight="1" x14ac:dyDescent="0.25">
      <c r="A205" s="154"/>
      <c r="B205" s="10" t="s">
        <v>723</v>
      </c>
      <c r="J205" s="10" t="s">
        <v>724</v>
      </c>
    </row>
    <row r="206" spans="1:16" ht="14" customHeight="1" x14ac:dyDescent="0.25">
      <c r="A206" s="154"/>
      <c r="B206" s="37" t="s">
        <v>96</v>
      </c>
      <c r="C206" s="7" t="s">
        <v>381</v>
      </c>
      <c r="D206" s="146">
        <v>45383</v>
      </c>
      <c r="E206" s="146">
        <v>45748</v>
      </c>
      <c r="F206" s="7" t="s">
        <v>34</v>
      </c>
      <c r="G206" s="7" t="s">
        <v>97</v>
      </c>
      <c r="H206" s="7" t="s">
        <v>681</v>
      </c>
      <c r="J206" s="144" t="s">
        <v>582</v>
      </c>
      <c r="K206" s="144" t="s">
        <v>335</v>
      </c>
      <c r="L206" s="144" t="s">
        <v>688</v>
      </c>
      <c r="M206" s="144" t="s">
        <v>689</v>
      </c>
      <c r="N206" s="144" t="s">
        <v>34</v>
      </c>
      <c r="O206" s="144" t="s">
        <v>669</v>
      </c>
      <c r="P206" s="144" t="s">
        <v>670</v>
      </c>
    </row>
    <row r="207" spans="1:16" ht="14" customHeight="1" x14ac:dyDescent="0.25">
      <c r="A207" s="154"/>
      <c r="B207" s="37">
        <v>1</v>
      </c>
      <c r="C207" s="7" t="s">
        <v>98</v>
      </c>
      <c r="D207" s="7">
        <v>7.5</v>
      </c>
      <c r="E207" s="7">
        <v>10.3</v>
      </c>
      <c r="F207" s="38">
        <v>0.37330000000000002</v>
      </c>
      <c r="G207" s="38">
        <v>0.27879999999999999</v>
      </c>
      <c r="H207" s="38">
        <v>0.30120000000000002</v>
      </c>
      <c r="J207" s="164">
        <v>1</v>
      </c>
      <c r="K207" s="161" t="s">
        <v>68</v>
      </c>
      <c r="L207" s="164">
        <v>28.9</v>
      </c>
      <c r="M207" s="164">
        <v>39.299999999999997</v>
      </c>
      <c r="N207" s="165">
        <v>0.36</v>
      </c>
      <c r="O207" s="165">
        <v>0.27600000000000002</v>
      </c>
      <c r="P207" s="165">
        <v>0.29599999999999999</v>
      </c>
    </row>
    <row r="208" spans="1:16" ht="14" customHeight="1" x14ac:dyDescent="0.25">
      <c r="A208" s="154"/>
      <c r="B208" s="37">
        <v>2</v>
      </c>
      <c r="C208" s="7" t="s">
        <v>172</v>
      </c>
      <c r="D208" s="7">
        <v>6</v>
      </c>
      <c r="E208" s="7">
        <v>7</v>
      </c>
      <c r="F208" s="38">
        <v>0.16669999999999999</v>
      </c>
      <c r="G208" s="38">
        <v>0.22309999999999999</v>
      </c>
      <c r="H208" s="38">
        <v>0.20469999999999999</v>
      </c>
      <c r="J208" s="164">
        <v>2</v>
      </c>
      <c r="K208" s="161" t="s">
        <v>127</v>
      </c>
      <c r="L208" s="164">
        <v>25</v>
      </c>
      <c r="M208" s="164">
        <v>28.9</v>
      </c>
      <c r="N208" s="165">
        <v>0.156</v>
      </c>
      <c r="O208" s="165">
        <v>0.23899999999999999</v>
      </c>
      <c r="P208" s="165">
        <v>0.218</v>
      </c>
    </row>
    <row r="209" spans="1:17" ht="14" customHeight="1" x14ac:dyDescent="0.25">
      <c r="A209" s="154"/>
      <c r="B209" s="37">
        <v>3</v>
      </c>
      <c r="C209" s="7" t="s">
        <v>36</v>
      </c>
      <c r="D209" s="7">
        <v>3.1</v>
      </c>
      <c r="E209" s="7">
        <v>3</v>
      </c>
      <c r="F209" s="38">
        <v>-3.2300000000000002E-2</v>
      </c>
      <c r="G209" s="38">
        <v>0.1152</v>
      </c>
      <c r="H209" s="38">
        <v>8.77E-2</v>
      </c>
      <c r="J209" s="164">
        <v>3</v>
      </c>
      <c r="K209" s="161" t="s">
        <v>36</v>
      </c>
      <c r="L209" s="164">
        <v>10.8</v>
      </c>
      <c r="M209" s="164">
        <v>13.4</v>
      </c>
      <c r="N209" s="165">
        <v>0.24099999999999999</v>
      </c>
      <c r="O209" s="165">
        <v>0.10299999999999999</v>
      </c>
      <c r="P209" s="165">
        <v>0.10100000000000001</v>
      </c>
    </row>
    <row r="210" spans="1:17" ht="14" customHeight="1" x14ac:dyDescent="0.25">
      <c r="A210" s="154"/>
      <c r="B210" s="37">
        <v>4</v>
      </c>
      <c r="C210" s="7" t="s">
        <v>173</v>
      </c>
      <c r="D210" s="7">
        <v>2.8</v>
      </c>
      <c r="E210" s="7">
        <v>3</v>
      </c>
      <c r="F210" s="38">
        <v>7.1400000000000005E-2</v>
      </c>
      <c r="G210" s="38">
        <v>0.1041</v>
      </c>
      <c r="H210" s="38">
        <v>8.77E-2</v>
      </c>
      <c r="J210" s="164">
        <v>4</v>
      </c>
      <c r="K210" s="161" t="s">
        <v>128</v>
      </c>
      <c r="L210" s="164">
        <v>11.6</v>
      </c>
      <c r="M210" s="164">
        <v>10.3</v>
      </c>
      <c r="N210" s="165">
        <v>-0.112</v>
      </c>
      <c r="O210" s="165">
        <v>0.111</v>
      </c>
      <c r="P210" s="165">
        <v>7.8E-2</v>
      </c>
    </row>
    <row r="211" spans="1:17" ht="14" customHeight="1" x14ac:dyDescent="0.25">
      <c r="A211" s="154"/>
      <c r="B211" s="37">
        <v>5</v>
      </c>
      <c r="C211" s="7" t="s">
        <v>102</v>
      </c>
      <c r="D211" s="7">
        <v>2.6</v>
      </c>
      <c r="E211" s="7">
        <v>2.2000000000000002</v>
      </c>
      <c r="F211" s="38">
        <v>-0.15379999999999999</v>
      </c>
      <c r="G211" s="38">
        <v>9.6699999999999994E-2</v>
      </c>
      <c r="H211" s="38">
        <v>6.4299999999999996E-2</v>
      </c>
      <c r="J211" s="164">
        <v>5</v>
      </c>
      <c r="K211" s="161" t="s">
        <v>72</v>
      </c>
      <c r="L211" s="164">
        <v>10.3</v>
      </c>
      <c r="M211" s="164">
        <v>9.4</v>
      </c>
      <c r="N211" s="165">
        <v>-8.6999999999999994E-2</v>
      </c>
      <c r="O211" s="165">
        <v>9.8000000000000004E-2</v>
      </c>
      <c r="P211" s="165">
        <v>7.0999999999999994E-2</v>
      </c>
    </row>
    <row r="212" spans="1:17" ht="14" customHeight="1" x14ac:dyDescent="0.25">
      <c r="A212" s="154"/>
      <c r="B212" s="37">
        <v>6</v>
      </c>
      <c r="C212" s="7" t="s">
        <v>99</v>
      </c>
      <c r="D212" s="7">
        <v>0.9</v>
      </c>
      <c r="E212" s="7">
        <v>2.7</v>
      </c>
      <c r="F212" s="38">
        <v>2</v>
      </c>
      <c r="G212" s="38">
        <v>3.3500000000000002E-2</v>
      </c>
      <c r="H212" s="38">
        <v>7.8899999999999998E-2</v>
      </c>
      <c r="J212" s="164">
        <v>6</v>
      </c>
      <c r="K212" s="161" t="s">
        <v>69</v>
      </c>
      <c r="L212" s="164">
        <v>4</v>
      </c>
      <c r="M212" s="164">
        <v>9.1</v>
      </c>
      <c r="N212" s="165">
        <v>1.2749999999999999</v>
      </c>
      <c r="O212" s="165">
        <v>3.7999999999999999E-2</v>
      </c>
      <c r="P212" s="165">
        <v>6.9000000000000006E-2</v>
      </c>
    </row>
    <row r="213" spans="1:17" ht="14" customHeight="1" x14ac:dyDescent="0.25">
      <c r="A213" s="154"/>
      <c r="B213" s="37">
        <v>7</v>
      </c>
      <c r="C213" s="7" t="s">
        <v>185</v>
      </c>
      <c r="D213" s="7">
        <v>0.7</v>
      </c>
      <c r="E213" s="7">
        <v>1</v>
      </c>
      <c r="F213" s="38">
        <v>0.42859999999999998</v>
      </c>
      <c r="G213" s="38">
        <v>2.5999999999999999E-2</v>
      </c>
      <c r="H213" s="38">
        <v>2.92E-2</v>
      </c>
      <c r="J213" s="164">
        <v>7</v>
      </c>
      <c r="K213" s="161" t="s">
        <v>357</v>
      </c>
      <c r="L213" s="164">
        <v>2.4</v>
      </c>
      <c r="M213" s="164">
        <v>2.9</v>
      </c>
      <c r="N213" s="165">
        <v>0.20799999999999999</v>
      </c>
      <c r="O213" s="165">
        <v>2.3E-2</v>
      </c>
      <c r="P213" s="165">
        <v>2.1999999999999999E-2</v>
      </c>
    </row>
    <row r="214" spans="1:17" ht="14" customHeight="1" x14ac:dyDescent="0.25">
      <c r="A214" s="154"/>
      <c r="B214" s="37">
        <v>8</v>
      </c>
      <c r="C214" s="7" t="s">
        <v>722</v>
      </c>
      <c r="D214" s="7">
        <v>0.3</v>
      </c>
      <c r="E214" s="7">
        <v>0.9</v>
      </c>
      <c r="F214" s="38">
        <v>2</v>
      </c>
      <c r="G214" s="38">
        <v>1.12E-2</v>
      </c>
      <c r="H214" s="38">
        <v>2.63E-2</v>
      </c>
      <c r="J214" s="164">
        <v>8</v>
      </c>
      <c r="K214" s="161" t="s">
        <v>705</v>
      </c>
      <c r="L214" s="164">
        <v>0.6</v>
      </c>
      <c r="M214" s="164">
        <v>2.8</v>
      </c>
      <c r="N214" s="165">
        <v>3.6669999999999998</v>
      </c>
      <c r="O214" s="165">
        <v>6.0000000000000001E-3</v>
      </c>
      <c r="P214" s="165">
        <v>2.1000000000000001E-2</v>
      </c>
    </row>
    <row r="215" spans="1:17" ht="14" customHeight="1" x14ac:dyDescent="0.25">
      <c r="A215" s="154"/>
      <c r="B215" s="37">
        <v>9</v>
      </c>
      <c r="C215" s="7" t="s">
        <v>101</v>
      </c>
      <c r="D215" s="7">
        <v>0.4</v>
      </c>
      <c r="E215" s="7">
        <v>0.6</v>
      </c>
      <c r="F215" s="38">
        <v>0.5</v>
      </c>
      <c r="G215" s="38">
        <v>1.49E-2</v>
      </c>
      <c r="H215" s="38">
        <v>1.7500000000000002E-2</v>
      </c>
      <c r="J215" s="164">
        <v>9</v>
      </c>
      <c r="K215" s="161" t="s">
        <v>70</v>
      </c>
      <c r="L215" s="164">
        <v>1.3</v>
      </c>
      <c r="M215" s="164">
        <v>2.6</v>
      </c>
      <c r="N215" s="165">
        <v>1</v>
      </c>
      <c r="O215" s="165">
        <v>1.2E-2</v>
      </c>
      <c r="P215" s="165">
        <v>0.02</v>
      </c>
    </row>
    <row r="216" spans="1:17" ht="14" customHeight="1" x14ac:dyDescent="0.25">
      <c r="A216" s="154"/>
      <c r="B216" s="37">
        <v>10</v>
      </c>
      <c r="C216" s="7" t="s">
        <v>100</v>
      </c>
      <c r="D216" s="7">
        <v>0.6</v>
      </c>
      <c r="E216" s="7">
        <v>0.5</v>
      </c>
      <c r="F216" s="38">
        <v>-0.16669999999999999</v>
      </c>
      <c r="G216" s="38">
        <v>2.23E-2</v>
      </c>
      <c r="H216" s="38">
        <v>1.46E-2</v>
      </c>
      <c r="J216" s="164">
        <v>10</v>
      </c>
      <c r="K216" s="161" t="s">
        <v>71</v>
      </c>
      <c r="L216" s="164">
        <v>1.7</v>
      </c>
      <c r="M216" s="164">
        <v>2.5</v>
      </c>
      <c r="N216" s="165">
        <v>0.47099999999999997</v>
      </c>
      <c r="O216" s="165">
        <v>1.6E-2</v>
      </c>
      <c r="P216" s="165">
        <v>1.9E-2</v>
      </c>
    </row>
    <row r="217" spans="1:17" ht="14" customHeight="1" x14ac:dyDescent="0.25">
      <c r="A217" s="154"/>
      <c r="B217" s="162" t="s">
        <v>31</v>
      </c>
      <c r="C217" s="163" t="s">
        <v>118</v>
      </c>
      <c r="D217" s="7">
        <v>2.2000000000000002</v>
      </c>
      <c r="E217" s="7">
        <v>3</v>
      </c>
      <c r="F217" s="38">
        <v>0.36359999999999998</v>
      </c>
      <c r="G217" s="38">
        <v>8.1799999999999998E-2</v>
      </c>
      <c r="H217" s="38">
        <v>8.77E-2</v>
      </c>
      <c r="J217" s="166" t="s">
        <v>31</v>
      </c>
      <c r="K217" s="166" t="s">
        <v>77</v>
      </c>
      <c r="L217" s="164">
        <v>8.1</v>
      </c>
      <c r="M217" s="164">
        <v>11.4</v>
      </c>
      <c r="N217" s="165">
        <v>0.40699999999999997</v>
      </c>
      <c r="O217" s="165">
        <v>7.6999999999999999E-2</v>
      </c>
      <c r="P217" s="165">
        <v>8.5999999999999993E-2</v>
      </c>
    </row>
    <row r="218" spans="1:17" ht="14" customHeight="1" x14ac:dyDescent="0.25">
      <c r="A218" s="154"/>
      <c r="B218" s="162" t="s">
        <v>31</v>
      </c>
      <c r="C218" s="163" t="s">
        <v>274</v>
      </c>
      <c r="D218" s="7">
        <v>26.9</v>
      </c>
      <c r="E218" s="7">
        <v>34.200000000000003</v>
      </c>
      <c r="F218" s="38">
        <v>0.26769999999999999</v>
      </c>
      <c r="G218" s="38">
        <v>1</v>
      </c>
      <c r="H218" s="38">
        <v>1</v>
      </c>
      <c r="J218" s="161" t="s">
        <v>31</v>
      </c>
      <c r="K218" s="161" t="s">
        <v>78</v>
      </c>
      <c r="L218" s="164">
        <v>104.6</v>
      </c>
      <c r="M218" s="164">
        <v>132.6</v>
      </c>
      <c r="N218" s="165">
        <v>0.26800000000000002</v>
      </c>
      <c r="O218" s="165">
        <v>1</v>
      </c>
      <c r="P218" s="165">
        <v>1</v>
      </c>
    </row>
    <row r="219" spans="1:17" ht="14" customHeight="1" x14ac:dyDescent="0.25">
      <c r="A219" s="154"/>
    </row>
    <row r="220" spans="1:17" ht="14" customHeight="1" x14ac:dyDescent="0.25">
      <c r="B220" s="10" t="s">
        <v>725</v>
      </c>
      <c r="J220" s="10" t="s">
        <v>726</v>
      </c>
    </row>
    <row r="221" spans="1:17" ht="14" customHeight="1" x14ac:dyDescent="0.25">
      <c r="B221" s="37" t="s">
        <v>96</v>
      </c>
      <c r="C221" s="7" t="s">
        <v>381</v>
      </c>
      <c r="D221" s="146">
        <v>45352</v>
      </c>
      <c r="E221" s="146">
        <v>45717</v>
      </c>
      <c r="F221" s="7" t="s">
        <v>34</v>
      </c>
      <c r="G221" s="7" t="s">
        <v>97</v>
      </c>
      <c r="H221" s="7" t="s">
        <v>681</v>
      </c>
      <c r="I221" s="15"/>
      <c r="J221" s="37" t="s">
        <v>96</v>
      </c>
      <c r="K221" s="7" t="s">
        <v>381</v>
      </c>
      <c r="L221" s="146" t="s">
        <v>165</v>
      </c>
      <c r="M221" s="146" t="s">
        <v>690</v>
      </c>
      <c r="N221" s="7" t="s">
        <v>34</v>
      </c>
      <c r="O221" s="7" t="s">
        <v>97</v>
      </c>
      <c r="P221" s="7" t="s">
        <v>681</v>
      </c>
      <c r="Q221" s="15"/>
    </row>
    <row r="222" spans="1:17" ht="14" customHeight="1" x14ac:dyDescent="0.25">
      <c r="B222" s="37">
        <v>1</v>
      </c>
      <c r="C222" s="7" t="s">
        <v>98</v>
      </c>
      <c r="D222" s="7">
        <v>9.1</v>
      </c>
      <c r="E222" s="7">
        <v>12.2</v>
      </c>
      <c r="F222" s="38">
        <v>0.3407</v>
      </c>
      <c r="G222" s="38">
        <v>0.2853</v>
      </c>
      <c r="H222" s="38">
        <v>0.30420000000000003</v>
      </c>
      <c r="I222" s="15"/>
      <c r="J222" s="37">
        <v>1</v>
      </c>
      <c r="K222" s="7" t="s">
        <v>98</v>
      </c>
      <c r="L222" s="7">
        <v>21.4</v>
      </c>
      <c r="M222" s="7">
        <v>29</v>
      </c>
      <c r="N222" s="38">
        <v>0.35499999999999998</v>
      </c>
      <c r="O222" s="38">
        <v>0.27500000000000002</v>
      </c>
      <c r="P222" s="38">
        <v>0.29499999999999998</v>
      </c>
      <c r="Q222" s="15"/>
    </row>
    <row r="223" spans="1:17" ht="14" customHeight="1" x14ac:dyDescent="0.25">
      <c r="B223" s="37">
        <v>2</v>
      </c>
      <c r="C223" s="7" t="s">
        <v>172</v>
      </c>
      <c r="D223" s="7">
        <v>8.3000000000000007</v>
      </c>
      <c r="E223" s="7">
        <v>9.6999999999999993</v>
      </c>
      <c r="F223" s="38">
        <v>0.16869999999999999</v>
      </c>
      <c r="G223" s="38">
        <v>0.26019999999999999</v>
      </c>
      <c r="H223" s="38">
        <v>0.2419</v>
      </c>
      <c r="I223" s="15"/>
      <c r="J223" s="37">
        <v>2</v>
      </c>
      <c r="K223" s="7" t="s">
        <v>172</v>
      </c>
      <c r="L223" s="7">
        <v>19</v>
      </c>
      <c r="M223" s="7">
        <v>21.9</v>
      </c>
      <c r="N223" s="38">
        <v>0.153</v>
      </c>
      <c r="O223" s="38">
        <v>0.24399999999999999</v>
      </c>
      <c r="P223" s="38">
        <v>0.223</v>
      </c>
      <c r="Q223" s="15"/>
    </row>
    <row r="224" spans="1:17" ht="14" customHeight="1" x14ac:dyDescent="0.25">
      <c r="B224" s="37">
        <v>3</v>
      </c>
      <c r="C224" s="7" t="s">
        <v>36</v>
      </c>
      <c r="D224" s="7">
        <v>3.3</v>
      </c>
      <c r="E224" s="7">
        <v>4.3</v>
      </c>
      <c r="F224" s="38">
        <v>0.30299999999999999</v>
      </c>
      <c r="G224" s="38">
        <v>0.10340000000000001</v>
      </c>
      <c r="H224" s="38">
        <v>0.1072</v>
      </c>
      <c r="I224" s="15"/>
      <c r="J224" s="37">
        <v>3</v>
      </c>
      <c r="K224" s="7" t="s">
        <v>36</v>
      </c>
      <c r="L224" s="7">
        <v>7.7</v>
      </c>
      <c r="M224" s="7">
        <v>10.4</v>
      </c>
      <c r="N224" s="38">
        <v>0.35499999999999998</v>
      </c>
      <c r="O224" s="38">
        <v>9.9000000000000005E-2</v>
      </c>
      <c r="P224" s="38">
        <v>0.106</v>
      </c>
      <c r="Q224" s="15"/>
    </row>
    <row r="225" spans="2:17" ht="14" customHeight="1" x14ac:dyDescent="0.25">
      <c r="B225" s="37">
        <v>4</v>
      </c>
      <c r="C225" s="7" t="s">
        <v>173</v>
      </c>
      <c r="D225" s="7">
        <v>3.4</v>
      </c>
      <c r="E225" s="7">
        <v>3.1</v>
      </c>
      <c r="F225" s="38">
        <v>-8.8200000000000001E-2</v>
      </c>
      <c r="G225" s="38">
        <v>0.1066</v>
      </c>
      <c r="H225" s="38">
        <v>7.7299999999999994E-2</v>
      </c>
      <c r="I225" s="15"/>
      <c r="J225" s="37">
        <v>4</v>
      </c>
      <c r="K225" s="7" t="s">
        <v>173</v>
      </c>
      <c r="L225" s="7">
        <v>8.8000000000000007</v>
      </c>
      <c r="M225" s="7">
        <v>7.3</v>
      </c>
      <c r="N225" s="38">
        <v>-0.16900000000000001</v>
      </c>
      <c r="O225" s="38">
        <v>0.113</v>
      </c>
      <c r="P225" s="38">
        <v>7.3999999999999996E-2</v>
      </c>
      <c r="Q225" s="15"/>
    </row>
    <row r="226" spans="2:17" ht="14" customHeight="1" x14ac:dyDescent="0.25">
      <c r="B226" s="37">
        <v>5</v>
      </c>
      <c r="C226" s="7" t="s">
        <v>102</v>
      </c>
      <c r="D226" s="7">
        <v>2.6</v>
      </c>
      <c r="E226" s="7">
        <v>2.1</v>
      </c>
      <c r="F226" s="38">
        <v>-0.1923</v>
      </c>
      <c r="G226" s="38">
        <v>8.1500000000000003E-2</v>
      </c>
      <c r="H226" s="38">
        <v>5.2400000000000002E-2</v>
      </c>
      <c r="I226" s="15"/>
      <c r="J226" s="37">
        <v>5</v>
      </c>
      <c r="K226" s="7" t="s">
        <v>102</v>
      </c>
      <c r="L226" s="7">
        <v>7.7</v>
      </c>
      <c r="M226" s="7">
        <v>7.2</v>
      </c>
      <c r="N226" s="38">
        <v>-6.3E-2</v>
      </c>
      <c r="O226" s="38">
        <v>9.9000000000000005E-2</v>
      </c>
      <c r="P226" s="38">
        <v>7.3999999999999996E-2</v>
      </c>
      <c r="Q226" s="15"/>
    </row>
    <row r="227" spans="2:17" ht="14" customHeight="1" x14ac:dyDescent="0.25">
      <c r="B227" s="37">
        <v>6</v>
      </c>
      <c r="C227" s="7" t="s">
        <v>99</v>
      </c>
      <c r="D227" s="7">
        <v>1</v>
      </c>
      <c r="E227" s="7">
        <v>2.9</v>
      </c>
      <c r="F227" s="38">
        <v>1.9</v>
      </c>
      <c r="G227" s="38">
        <v>3.1300000000000001E-2</v>
      </c>
      <c r="H227" s="38">
        <v>7.2300000000000003E-2</v>
      </c>
      <c r="I227" s="15"/>
      <c r="J227" s="37">
        <v>6</v>
      </c>
      <c r="K227" s="7" t="s">
        <v>99</v>
      </c>
      <c r="L227" s="7">
        <v>3.1</v>
      </c>
      <c r="M227" s="7">
        <v>6.4</v>
      </c>
      <c r="N227" s="38">
        <v>1.0469999999999999</v>
      </c>
      <c r="O227" s="38">
        <v>0.04</v>
      </c>
      <c r="P227" s="38">
        <v>6.5000000000000002E-2</v>
      </c>
      <c r="Q227" s="15"/>
    </row>
    <row r="228" spans="2:17" ht="14" customHeight="1" x14ac:dyDescent="0.25">
      <c r="B228" s="37">
        <v>7</v>
      </c>
      <c r="C228" s="7" t="s">
        <v>101</v>
      </c>
      <c r="D228" s="7">
        <v>0.3</v>
      </c>
      <c r="E228" s="7">
        <v>0.7</v>
      </c>
      <c r="F228" s="38">
        <v>1.3332999999999999</v>
      </c>
      <c r="G228" s="38">
        <v>9.4000000000000004E-3</v>
      </c>
      <c r="H228" s="38">
        <v>1.7500000000000002E-2</v>
      </c>
      <c r="I228" s="15"/>
      <c r="J228" s="37">
        <v>7</v>
      </c>
      <c r="K228" s="7" t="s">
        <v>101</v>
      </c>
      <c r="L228" s="7">
        <v>0.9</v>
      </c>
      <c r="M228" s="7">
        <v>2</v>
      </c>
      <c r="N228" s="38">
        <v>1.0820000000000001</v>
      </c>
      <c r="O228" s="38">
        <v>1.2E-2</v>
      </c>
      <c r="P228" s="38">
        <v>0.02</v>
      </c>
      <c r="Q228" s="15"/>
    </row>
    <row r="229" spans="2:17" ht="14" customHeight="1" x14ac:dyDescent="0.25">
      <c r="B229" s="37">
        <v>8</v>
      </c>
      <c r="C229" s="7" t="s">
        <v>100</v>
      </c>
      <c r="D229" s="7">
        <v>0.5</v>
      </c>
      <c r="E229" s="7">
        <v>0.9</v>
      </c>
      <c r="F229" s="38">
        <v>0.8</v>
      </c>
      <c r="G229" s="38">
        <v>1.5699999999999999E-2</v>
      </c>
      <c r="H229" s="38">
        <v>2.24E-2</v>
      </c>
      <c r="I229" s="15"/>
      <c r="J229" s="37">
        <v>8</v>
      </c>
      <c r="K229" s="7" t="s">
        <v>100</v>
      </c>
      <c r="L229" s="7">
        <v>1.1000000000000001</v>
      </c>
      <c r="M229" s="7">
        <v>2</v>
      </c>
      <c r="N229" s="38">
        <v>0.01</v>
      </c>
      <c r="O229" s="38">
        <v>1.4E-2</v>
      </c>
      <c r="P229" s="38">
        <v>0.02</v>
      </c>
      <c r="Q229" s="15"/>
    </row>
    <row r="230" spans="2:17" ht="14" customHeight="1" x14ac:dyDescent="0.25">
      <c r="B230" s="37">
        <v>9</v>
      </c>
      <c r="C230" s="7" t="s">
        <v>185</v>
      </c>
      <c r="D230" s="7">
        <v>0.7</v>
      </c>
      <c r="E230" s="7">
        <v>0.8</v>
      </c>
      <c r="F230" s="38">
        <v>0.1429</v>
      </c>
      <c r="G230" s="38">
        <v>2.1999999999999999E-2</v>
      </c>
      <c r="H230" s="38">
        <v>1.9900000000000001E-2</v>
      </c>
      <c r="I230" s="15"/>
      <c r="J230" s="37">
        <v>9</v>
      </c>
      <c r="K230" s="7" t="s">
        <v>185</v>
      </c>
      <c r="L230" s="7">
        <v>1.7</v>
      </c>
      <c r="M230" s="7">
        <v>1.9</v>
      </c>
      <c r="N230" s="38">
        <v>0.129</v>
      </c>
      <c r="O230" s="38">
        <v>2.1999999999999999E-2</v>
      </c>
      <c r="P230" s="38">
        <v>0.02</v>
      </c>
      <c r="Q230" s="15"/>
    </row>
    <row r="231" spans="2:17" ht="14" customHeight="1" x14ac:dyDescent="0.25">
      <c r="B231" s="37">
        <v>10</v>
      </c>
      <c r="C231" s="7" t="s">
        <v>722</v>
      </c>
      <c r="D231" s="7">
        <v>0.1</v>
      </c>
      <c r="E231" s="7">
        <v>0.2</v>
      </c>
      <c r="F231" s="38">
        <v>1</v>
      </c>
      <c r="G231" s="38">
        <v>3.0999999999999999E-3</v>
      </c>
      <c r="H231" s="38">
        <v>5.0000000000000001E-3</v>
      </c>
      <c r="I231" s="15"/>
      <c r="J231" s="37">
        <v>10</v>
      </c>
      <c r="K231" s="7" t="s">
        <v>722</v>
      </c>
      <c r="L231" s="7">
        <v>0.3</v>
      </c>
      <c r="M231" s="7">
        <v>1.9</v>
      </c>
      <c r="N231" s="38">
        <v>4.4790000000000001</v>
      </c>
      <c r="O231" s="38">
        <v>4.0000000000000001E-3</v>
      </c>
      <c r="P231" s="38">
        <v>1.9E-2</v>
      </c>
      <c r="Q231" s="15"/>
    </row>
    <row r="232" spans="2:17" ht="14" customHeight="1" x14ac:dyDescent="0.25">
      <c r="B232" s="162" t="s">
        <v>31</v>
      </c>
      <c r="C232" s="163" t="s">
        <v>118</v>
      </c>
      <c r="D232" s="7">
        <v>2.4</v>
      </c>
      <c r="E232" s="7">
        <v>3.3</v>
      </c>
      <c r="F232" s="38">
        <v>0.375</v>
      </c>
      <c r="G232" s="38">
        <v>7.5200000000000003E-2</v>
      </c>
      <c r="H232" s="38">
        <v>8.2299999999999998E-2</v>
      </c>
      <c r="I232" s="15"/>
      <c r="J232" s="222" t="s">
        <v>31</v>
      </c>
      <c r="K232" s="167" t="s">
        <v>77</v>
      </c>
      <c r="L232" s="7">
        <v>5.9</v>
      </c>
      <c r="M232" s="7">
        <v>8.4</v>
      </c>
      <c r="N232" s="38">
        <v>0.41899999999999998</v>
      </c>
      <c r="O232" s="38">
        <v>7.5999999999999998E-2</v>
      </c>
      <c r="P232" s="38">
        <v>8.5000000000000006E-2</v>
      </c>
      <c r="Q232" s="15"/>
    </row>
    <row r="233" spans="2:17" ht="14" customHeight="1" x14ac:dyDescent="0.25">
      <c r="B233" s="162" t="s">
        <v>31</v>
      </c>
      <c r="C233" s="163" t="s">
        <v>274</v>
      </c>
      <c r="D233" s="7">
        <v>31.9</v>
      </c>
      <c r="E233" s="7">
        <v>40.1</v>
      </c>
      <c r="F233" s="38">
        <v>0.2571</v>
      </c>
      <c r="G233" s="38">
        <v>1</v>
      </c>
      <c r="H233" s="38">
        <v>1</v>
      </c>
      <c r="I233" s="15"/>
      <c r="J233" s="222" t="s">
        <v>31</v>
      </c>
      <c r="K233" s="167" t="s">
        <v>78</v>
      </c>
      <c r="L233" s="7">
        <v>77.7</v>
      </c>
      <c r="M233" s="7">
        <v>98.4</v>
      </c>
      <c r="N233" s="38">
        <v>0.26500000000000001</v>
      </c>
      <c r="O233" s="38">
        <v>1</v>
      </c>
      <c r="P233" s="38">
        <v>1</v>
      </c>
      <c r="Q233" s="15"/>
    </row>
    <row r="234" spans="2:17" ht="14" customHeight="1" x14ac:dyDescent="0.25">
      <c r="B234" s="11"/>
      <c r="C234" s="15"/>
      <c r="D234" s="15"/>
      <c r="E234" s="15"/>
      <c r="F234" s="15"/>
      <c r="G234" s="15"/>
      <c r="H234" s="15"/>
      <c r="I234" s="15"/>
      <c r="J234" s="11"/>
      <c r="L234" s="15"/>
      <c r="M234" s="15"/>
      <c r="N234" s="15"/>
      <c r="O234" s="15"/>
      <c r="P234" s="15"/>
      <c r="Q234" s="15"/>
    </row>
    <row r="235" spans="2:17" ht="14" customHeight="1" x14ac:dyDescent="0.25">
      <c r="B235" s="10" t="s">
        <v>727</v>
      </c>
      <c r="J235" s="10" t="s">
        <v>728</v>
      </c>
    </row>
    <row r="236" spans="2:17" ht="14" customHeight="1" x14ac:dyDescent="0.25">
      <c r="B236" s="37" t="s">
        <v>96</v>
      </c>
      <c r="C236" s="7" t="s">
        <v>381</v>
      </c>
      <c r="D236" s="146">
        <v>45323</v>
      </c>
      <c r="E236" s="146">
        <v>45689</v>
      </c>
      <c r="F236" s="7" t="s">
        <v>34</v>
      </c>
      <c r="G236" s="7" t="s">
        <v>97</v>
      </c>
      <c r="H236" s="7" t="s">
        <v>681</v>
      </c>
      <c r="J236" s="37" t="s">
        <v>96</v>
      </c>
      <c r="K236" s="7" t="s">
        <v>381</v>
      </c>
      <c r="L236" s="146" t="s">
        <v>169</v>
      </c>
      <c r="M236" s="146" t="s">
        <v>691</v>
      </c>
      <c r="N236" s="7" t="s">
        <v>34</v>
      </c>
      <c r="O236" s="7" t="s">
        <v>97</v>
      </c>
      <c r="P236" s="7" t="s">
        <v>681</v>
      </c>
    </row>
    <row r="237" spans="2:17" ht="14" customHeight="1" x14ac:dyDescent="0.25">
      <c r="B237" s="170">
        <v>1</v>
      </c>
      <c r="C237" s="7" t="s">
        <v>98</v>
      </c>
      <c r="D237" s="168">
        <f>L237-L252</f>
        <v>6.6000000000000005</v>
      </c>
      <c r="E237" s="168">
        <f>M237-M252</f>
        <v>8.8000000000000007</v>
      </c>
      <c r="F237" s="169">
        <f>E237/D237-1</f>
        <v>0.33333333333333326</v>
      </c>
      <c r="G237" s="169">
        <f>D237/$D$248</f>
        <v>0.27848101265822794</v>
      </c>
      <c r="H237" s="169">
        <f>E237/$E$248</f>
        <v>0.2904290429042905</v>
      </c>
      <c r="J237" s="170">
        <v>1</v>
      </c>
      <c r="K237" s="7" t="s">
        <v>98</v>
      </c>
      <c r="L237" s="168">
        <v>12.3</v>
      </c>
      <c r="M237" s="168">
        <v>16.8</v>
      </c>
      <c r="N237" s="169">
        <v>0.36599999999999999</v>
      </c>
      <c r="O237" s="169">
        <v>0.26900000000000002</v>
      </c>
      <c r="P237" s="169">
        <v>0.28799999999999998</v>
      </c>
    </row>
    <row r="238" spans="2:17" ht="14" customHeight="1" x14ac:dyDescent="0.25">
      <c r="B238" s="170">
        <v>2</v>
      </c>
      <c r="C238" s="7" t="s">
        <v>172</v>
      </c>
      <c r="D238" s="168">
        <f t="shared" ref="D238:D243" si="83">L238-L253</f>
        <v>5.6999999999999993</v>
      </c>
      <c r="E238" s="168">
        <f t="shared" ref="E238:E243" si="84">M238-M253</f>
        <v>6.4999999999999991</v>
      </c>
      <c r="F238" s="169">
        <f t="shared" ref="F238:F248" si="85">E238/D238-1</f>
        <v>0.14035087719298245</v>
      </c>
      <c r="G238" s="169">
        <f t="shared" ref="G238:G248" si="86">D238/$D$248</f>
        <v>0.24050632911392406</v>
      </c>
      <c r="H238" s="169">
        <f t="shared" ref="H238:H248" si="87">E238/$E$248</f>
        <v>0.21452145214521451</v>
      </c>
      <c r="J238" s="170">
        <v>2</v>
      </c>
      <c r="K238" s="7" t="s">
        <v>172</v>
      </c>
      <c r="L238" s="168">
        <v>10.7</v>
      </c>
      <c r="M238" s="168">
        <v>12.2</v>
      </c>
      <c r="N238" s="169">
        <v>0.14000000000000001</v>
      </c>
      <c r="O238" s="169">
        <v>0.23400000000000001</v>
      </c>
      <c r="P238" s="169">
        <v>0.20899999999999999</v>
      </c>
    </row>
    <row r="239" spans="2:17" ht="14" customHeight="1" x14ac:dyDescent="0.25">
      <c r="B239" s="170">
        <v>3</v>
      </c>
      <c r="C239" s="7" t="s">
        <v>36</v>
      </c>
      <c r="D239" s="168">
        <f t="shared" si="83"/>
        <v>2.3000000000000003</v>
      </c>
      <c r="E239" s="168">
        <f t="shared" si="84"/>
        <v>3.1999999999999997</v>
      </c>
      <c r="F239" s="169">
        <f t="shared" si="85"/>
        <v>0.3913043478260867</v>
      </c>
      <c r="G239" s="169">
        <f t="shared" si="86"/>
        <v>9.7046413502109727E-2</v>
      </c>
      <c r="H239" s="169">
        <f t="shared" si="87"/>
        <v>0.10561056105610561</v>
      </c>
      <c r="J239" s="170">
        <v>3</v>
      </c>
      <c r="K239" s="7" t="s">
        <v>36</v>
      </c>
      <c r="L239" s="168">
        <v>4.4000000000000004</v>
      </c>
      <c r="M239" s="168">
        <v>6.1</v>
      </c>
      <c r="N239" s="169">
        <v>0.38600000000000001</v>
      </c>
      <c r="O239" s="169">
        <v>9.6000000000000002E-2</v>
      </c>
      <c r="P239" s="169">
        <v>0.105</v>
      </c>
    </row>
    <row r="240" spans="2:17" ht="14" customHeight="1" x14ac:dyDescent="0.25">
      <c r="B240" s="170">
        <v>4</v>
      </c>
      <c r="C240" s="7" t="s">
        <v>102</v>
      </c>
      <c r="D240" s="168">
        <f t="shared" si="83"/>
        <v>2.5999999999999996</v>
      </c>
      <c r="E240" s="168">
        <f t="shared" si="84"/>
        <v>2.5999999999999996</v>
      </c>
      <c r="F240" s="169">
        <f t="shared" si="85"/>
        <v>0</v>
      </c>
      <c r="G240" s="169">
        <f t="shared" si="86"/>
        <v>0.10970464135021098</v>
      </c>
      <c r="H240" s="169">
        <f t="shared" si="87"/>
        <v>8.5808580858085806E-2</v>
      </c>
      <c r="J240" s="170">
        <v>4</v>
      </c>
      <c r="K240" s="7" t="s">
        <v>102</v>
      </c>
      <c r="L240" s="168">
        <v>5.0999999999999996</v>
      </c>
      <c r="M240" s="168">
        <v>5.0999999999999996</v>
      </c>
      <c r="N240" s="169">
        <v>0</v>
      </c>
      <c r="O240" s="169">
        <v>0.111</v>
      </c>
      <c r="P240" s="169">
        <v>8.6999999999999994E-2</v>
      </c>
    </row>
    <row r="241" spans="2:16" ht="14" customHeight="1" x14ac:dyDescent="0.25">
      <c r="B241" s="170">
        <v>5</v>
      </c>
      <c r="C241" s="37" t="s">
        <v>115</v>
      </c>
      <c r="D241" s="168">
        <f t="shared" si="83"/>
        <v>2.8000000000000003</v>
      </c>
      <c r="E241" s="168">
        <f t="shared" si="84"/>
        <v>2.2000000000000002</v>
      </c>
      <c r="F241" s="169">
        <f t="shared" si="85"/>
        <v>-0.2142857142857143</v>
      </c>
      <c r="G241" s="169">
        <f t="shared" si="86"/>
        <v>0.11814345991561184</v>
      </c>
      <c r="H241" s="169">
        <f t="shared" si="87"/>
        <v>7.2607260726072625E-2</v>
      </c>
      <c r="J241" s="170">
        <v>5</v>
      </c>
      <c r="K241" s="37" t="s">
        <v>115</v>
      </c>
      <c r="L241" s="168">
        <v>5.4</v>
      </c>
      <c r="M241" s="168">
        <v>4.2</v>
      </c>
      <c r="N241" s="169">
        <v>-0.222</v>
      </c>
      <c r="O241" s="169">
        <v>0.11799999999999999</v>
      </c>
      <c r="P241" s="169">
        <v>7.1999999999999995E-2</v>
      </c>
    </row>
    <row r="242" spans="2:16" ht="14" customHeight="1" x14ac:dyDescent="0.25">
      <c r="B242" s="170">
        <v>6</v>
      </c>
      <c r="C242" s="170" t="s">
        <v>69</v>
      </c>
      <c r="D242" s="168">
        <f t="shared" si="83"/>
        <v>0.8</v>
      </c>
      <c r="E242" s="168">
        <f t="shared" si="84"/>
        <v>1.9</v>
      </c>
      <c r="F242" s="169">
        <f t="shared" si="85"/>
        <v>1.3749999999999996</v>
      </c>
      <c r="G242" s="169">
        <f t="shared" si="86"/>
        <v>3.3755274261603387E-2</v>
      </c>
      <c r="H242" s="169">
        <f t="shared" si="87"/>
        <v>6.2706270627062716E-2</v>
      </c>
      <c r="J242" s="170">
        <v>6</v>
      </c>
      <c r="K242" s="170" t="s">
        <v>69</v>
      </c>
      <c r="L242" s="168">
        <v>2.1</v>
      </c>
      <c r="M242" s="168">
        <v>3.5</v>
      </c>
      <c r="N242" s="169">
        <v>0.66700000000000004</v>
      </c>
      <c r="O242" s="169">
        <v>4.5999999999999999E-2</v>
      </c>
      <c r="P242" s="169">
        <v>0.06</v>
      </c>
    </row>
    <row r="243" spans="2:16" ht="14" customHeight="1" x14ac:dyDescent="0.25">
      <c r="B243" s="170">
        <v>7</v>
      </c>
      <c r="C243" s="170" t="s">
        <v>705</v>
      </c>
      <c r="D243" s="168">
        <f t="shared" si="83"/>
        <v>0.1</v>
      </c>
      <c r="E243" s="168">
        <f t="shared" si="84"/>
        <v>0.89999999999999991</v>
      </c>
      <c r="F243" s="169">
        <f t="shared" si="85"/>
        <v>7.9999999999999982</v>
      </c>
      <c r="G243" s="169">
        <f t="shared" si="86"/>
        <v>4.2194092827004233E-3</v>
      </c>
      <c r="H243" s="169">
        <f t="shared" si="87"/>
        <v>2.9702970297029702E-2</v>
      </c>
      <c r="J243" s="170">
        <v>7</v>
      </c>
      <c r="K243" s="170" t="s">
        <v>705</v>
      </c>
      <c r="L243" s="168">
        <v>0.2</v>
      </c>
      <c r="M243" s="168">
        <v>1.7</v>
      </c>
      <c r="N243" s="169">
        <v>7.5</v>
      </c>
      <c r="O243" s="169">
        <v>4.0000000000000001E-3</v>
      </c>
      <c r="P243" s="169">
        <v>2.9000000000000001E-2</v>
      </c>
    </row>
    <row r="244" spans="2:16" ht="14" customHeight="1" x14ac:dyDescent="0.25">
      <c r="B244" s="170">
        <v>8</v>
      </c>
      <c r="C244" s="170" t="s">
        <v>70</v>
      </c>
      <c r="D244" s="168">
        <f>L244-L260</f>
        <v>0.19999999999999996</v>
      </c>
      <c r="E244" s="168">
        <f>M244-M260</f>
        <v>0.70000000000000007</v>
      </c>
      <c r="F244" s="169">
        <f t="shared" si="85"/>
        <v>2.5000000000000013</v>
      </c>
      <c r="G244" s="169">
        <f t="shared" si="86"/>
        <v>8.4388185654008432E-3</v>
      </c>
      <c r="H244" s="169">
        <f t="shared" si="87"/>
        <v>2.3102310231023108E-2</v>
      </c>
      <c r="J244" s="170">
        <v>8</v>
      </c>
      <c r="K244" s="170" t="s">
        <v>70</v>
      </c>
      <c r="L244" s="168">
        <v>0.6</v>
      </c>
      <c r="M244" s="168">
        <v>1.3</v>
      </c>
      <c r="N244" s="169">
        <v>1.167</v>
      </c>
      <c r="O244" s="169">
        <v>1.2999999999999999E-2</v>
      </c>
      <c r="P244" s="169">
        <v>2.1999999999999999E-2</v>
      </c>
    </row>
    <row r="245" spans="2:16" ht="14" customHeight="1" x14ac:dyDescent="0.25">
      <c r="B245" s="170">
        <v>9</v>
      </c>
      <c r="C245" s="170" t="s">
        <v>71</v>
      </c>
      <c r="D245" s="168">
        <f>L245-L261</f>
        <v>0.3</v>
      </c>
      <c r="E245" s="168">
        <f>M245-M261</f>
        <v>0.50000000000000011</v>
      </c>
      <c r="F245" s="169">
        <f t="shared" si="85"/>
        <v>0.66666666666666718</v>
      </c>
      <c r="G245" s="169">
        <f t="shared" si="86"/>
        <v>1.2658227848101267E-2</v>
      </c>
      <c r="H245" s="169">
        <f t="shared" si="87"/>
        <v>1.6501650165016507E-2</v>
      </c>
      <c r="J245" s="170">
        <v>9</v>
      </c>
      <c r="K245" s="170" t="s">
        <v>71</v>
      </c>
      <c r="L245" s="168">
        <v>0.6</v>
      </c>
      <c r="M245" s="168">
        <v>1.1000000000000001</v>
      </c>
      <c r="N245" s="169">
        <v>0.83299999999999996</v>
      </c>
      <c r="O245" s="169">
        <v>1.2999999999999999E-2</v>
      </c>
      <c r="P245" s="169">
        <v>1.9E-2</v>
      </c>
    </row>
    <row r="246" spans="2:16" ht="14" customHeight="1" x14ac:dyDescent="0.25">
      <c r="B246" s="170">
        <v>10</v>
      </c>
      <c r="C246" s="170" t="s">
        <v>357</v>
      </c>
      <c r="D246" s="161" t="s">
        <v>319</v>
      </c>
      <c r="E246" s="161" t="s">
        <v>319</v>
      </c>
      <c r="F246" s="161" t="s">
        <v>319</v>
      </c>
      <c r="G246" s="161" t="s">
        <v>319</v>
      </c>
      <c r="H246" s="161" t="s">
        <v>319</v>
      </c>
      <c r="J246" s="170">
        <v>10</v>
      </c>
      <c r="K246" s="170" t="s">
        <v>357</v>
      </c>
      <c r="L246" s="168">
        <v>1</v>
      </c>
      <c r="M246" s="168">
        <v>1.1000000000000001</v>
      </c>
      <c r="N246" s="169">
        <v>0.1</v>
      </c>
      <c r="O246" s="169">
        <v>2.1999999999999999E-2</v>
      </c>
      <c r="P246" s="169">
        <v>1.9E-2</v>
      </c>
    </row>
    <row r="247" spans="2:16" ht="14" customHeight="1" x14ac:dyDescent="0.25">
      <c r="B247" s="340" t="s">
        <v>77</v>
      </c>
      <c r="C247" s="341"/>
      <c r="D247" s="161">
        <f>D248-SUM(D237:D245)</f>
        <v>2.2999999999999901</v>
      </c>
      <c r="E247" s="161">
        <f>E248-SUM(E237:E245)</f>
        <v>3</v>
      </c>
      <c r="F247" s="144">
        <f>E247/D247-1</f>
        <v>0.30434782608696209</v>
      </c>
      <c r="G247" s="144">
        <f>D247/D248</f>
        <v>9.7046413502109297E-2</v>
      </c>
      <c r="H247" s="144">
        <f>E247/E248</f>
        <v>9.9009900990099015E-2</v>
      </c>
      <c r="J247" s="340" t="s">
        <v>77</v>
      </c>
      <c r="K247" s="341"/>
      <c r="L247" s="168">
        <v>3.5</v>
      </c>
      <c r="M247" s="168">
        <v>5.0999999999999996</v>
      </c>
      <c r="N247" s="169">
        <v>0.45700000000000002</v>
      </c>
      <c r="O247" s="169">
        <v>7.5999999999999998E-2</v>
      </c>
      <c r="P247" s="169">
        <v>8.6999999999999994E-2</v>
      </c>
    </row>
    <row r="248" spans="2:16" ht="14" customHeight="1" x14ac:dyDescent="0.25">
      <c r="B248" s="340" t="s">
        <v>78</v>
      </c>
      <c r="C248" s="341"/>
      <c r="D248" s="168">
        <f>L248-L263</f>
        <v>23.699999999999996</v>
      </c>
      <c r="E248" s="168">
        <f>M248-M263</f>
        <v>30.299999999999997</v>
      </c>
      <c r="F248" s="169">
        <f t="shared" si="85"/>
        <v>0.278481012658228</v>
      </c>
      <c r="G248" s="169">
        <f t="shared" si="86"/>
        <v>1</v>
      </c>
      <c r="H248" s="169">
        <f t="shared" si="87"/>
        <v>1</v>
      </c>
      <c r="J248" s="340" t="s">
        <v>78</v>
      </c>
      <c r="K248" s="341"/>
      <c r="L248" s="168">
        <v>45.8</v>
      </c>
      <c r="M248" s="168">
        <v>58.3</v>
      </c>
      <c r="N248" s="169">
        <v>0.27300000000000002</v>
      </c>
      <c r="O248" s="169">
        <v>1</v>
      </c>
      <c r="P248" s="169">
        <v>1</v>
      </c>
    </row>
    <row r="249" spans="2:16" ht="14" customHeight="1" x14ac:dyDescent="0.25">
      <c r="B249" s="10"/>
    </row>
    <row r="250" spans="2:16" ht="14" customHeight="1" x14ac:dyDescent="0.25">
      <c r="B250" s="10" t="s">
        <v>729</v>
      </c>
      <c r="J250" s="10" t="s">
        <v>729</v>
      </c>
    </row>
    <row r="251" spans="2:16" ht="14" customHeight="1" x14ac:dyDescent="0.25">
      <c r="B251" s="37" t="s">
        <v>96</v>
      </c>
      <c r="C251" s="7" t="s">
        <v>381</v>
      </c>
      <c r="D251" s="146">
        <v>45292</v>
      </c>
      <c r="E251" s="146">
        <v>45658</v>
      </c>
      <c r="F251" s="7" t="s">
        <v>34</v>
      </c>
      <c r="G251" s="7" t="s">
        <v>97</v>
      </c>
      <c r="H251" s="7" t="s">
        <v>681</v>
      </c>
      <c r="J251" s="37" t="s">
        <v>96</v>
      </c>
      <c r="K251" s="7" t="s">
        <v>381</v>
      </c>
      <c r="L251" s="146">
        <v>45292</v>
      </c>
      <c r="M251" s="146">
        <v>45658</v>
      </c>
      <c r="N251" s="7" t="s">
        <v>34</v>
      </c>
      <c r="O251" s="7" t="s">
        <v>97</v>
      </c>
      <c r="P251" s="7" t="s">
        <v>681</v>
      </c>
    </row>
    <row r="252" spans="2:16" ht="14" customHeight="1" x14ac:dyDescent="0.25">
      <c r="B252" s="170">
        <v>1</v>
      </c>
      <c r="C252" s="7" t="s">
        <v>98</v>
      </c>
      <c r="D252" s="168">
        <v>5.7</v>
      </c>
      <c r="E252" s="170">
        <v>8</v>
      </c>
      <c r="F252" s="169">
        <v>0.40400000000000003</v>
      </c>
      <c r="G252" s="169">
        <v>0.25600000000000001</v>
      </c>
      <c r="H252" s="169">
        <v>0.28499999999999998</v>
      </c>
      <c r="J252" s="170">
        <v>1</v>
      </c>
      <c r="K252" s="7" t="s">
        <v>98</v>
      </c>
      <c r="L252" s="168">
        <v>5.7</v>
      </c>
      <c r="M252" s="170">
        <v>8</v>
      </c>
      <c r="N252" s="169">
        <v>0.40400000000000003</v>
      </c>
      <c r="O252" s="169">
        <v>0.25600000000000001</v>
      </c>
      <c r="P252" s="169">
        <v>0.28499999999999998</v>
      </c>
    </row>
    <row r="253" spans="2:16" ht="14" customHeight="1" x14ac:dyDescent="0.25">
      <c r="B253" s="170">
        <v>2</v>
      </c>
      <c r="C253" s="7" t="s">
        <v>172</v>
      </c>
      <c r="D253" s="168">
        <v>5</v>
      </c>
      <c r="E253" s="170">
        <v>5.7</v>
      </c>
      <c r="F253" s="169">
        <v>0.14799999999999999</v>
      </c>
      <c r="G253" s="169">
        <v>0.22500000000000001</v>
      </c>
      <c r="H253" s="169">
        <v>0.20499999999999999</v>
      </c>
      <c r="J253" s="170">
        <v>2</v>
      </c>
      <c r="K253" s="7" t="s">
        <v>172</v>
      </c>
      <c r="L253" s="168">
        <v>5</v>
      </c>
      <c r="M253" s="170">
        <v>5.7</v>
      </c>
      <c r="N253" s="169">
        <v>0.14799999999999999</v>
      </c>
      <c r="O253" s="169">
        <v>0.22500000000000001</v>
      </c>
      <c r="P253" s="169">
        <v>0.20499999999999999</v>
      </c>
    </row>
    <row r="254" spans="2:16" ht="14" customHeight="1" x14ac:dyDescent="0.25">
      <c r="B254" s="170">
        <v>3</v>
      </c>
      <c r="C254" s="7" t="s">
        <v>36</v>
      </c>
      <c r="D254" s="168">
        <v>2.1</v>
      </c>
      <c r="E254" s="170">
        <v>2.9</v>
      </c>
      <c r="F254" s="169">
        <v>0.35099999999999998</v>
      </c>
      <c r="G254" s="169">
        <v>9.7000000000000003E-2</v>
      </c>
      <c r="H254" s="169">
        <v>0.104</v>
      </c>
      <c r="J254" s="170">
        <v>3</v>
      </c>
      <c r="K254" s="7" t="s">
        <v>36</v>
      </c>
      <c r="L254" s="168">
        <v>2.1</v>
      </c>
      <c r="M254" s="170">
        <v>2.9</v>
      </c>
      <c r="N254" s="169">
        <v>0.35099999999999998</v>
      </c>
      <c r="O254" s="169">
        <v>9.7000000000000003E-2</v>
      </c>
      <c r="P254" s="169">
        <v>0.104</v>
      </c>
    </row>
    <row r="255" spans="2:16" ht="14" customHeight="1" x14ac:dyDescent="0.25">
      <c r="B255" s="170">
        <v>4</v>
      </c>
      <c r="C255" s="7" t="s">
        <v>102</v>
      </c>
      <c r="D255" s="168">
        <v>2.5</v>
      </c>
      <c r="E255" s="170">
        <v>2.5</v>
      </c>
      <c r="F255" s="169">
        <v>3.0000000000000001E-3</v>
      </c>
      <c r="G255" s="169">
        <v>0.111</v>
      </c>
      <c r="H255" s="169">
        <v>8.7999999999999995E-2</v>
      </c>
      <c r="J255" s="170">
        <v>4</v>
      </c>
      <c r="K255" s="7" t="s">
        <v>102</v>
      </c>
      <c r="L255" s="168">
        <v>2.5</v>
      </c>
      <c r="M255" s="170">
        <v>2.5</v>
      </c>
      <c r="N255" s="169">
        <v>3.0000000000000001E-3</v>
      </c>
      <c r="O255" s="169">
        <v>0.111</v>
      </c>
      <c r="P255" s="169">
        <v>8.7999999999999995E-2</v>
      </c>
    </row>
    <row r="256" spans="2:16" ht="14" customHeight="1" x14ac:dyDescent="0.25">
      <c r="B256" s="170">
        <v>5</v>
      </c>
      <c r="C256" s="37" t="s">
        <v>115</v>
      </c>
      <c r="D256" s="168">
        <v>2.6</v>
      </c>
      <c r="E256" s="170">
        <v>2</v>
      </c>
      <c r="F256" s="169">
        <v>-0.23499999999999999</v>
      </c>
      <c r="G256" s="169">
        <v>0.11600000000000001</v>
      </c>
      <c r="H256" s="169">
        <v>7.0000000000000007E-2</v>
      </c>
      <c r="J256" s="170">
        <v>5</v>
      </c>
      <c r="K256" s="37" t="s">
        <v>115</v>
      </c>
      <c r="L256" s="168">
        <v>2.6</v>
      </c>
      <c r="M256" s="170">
        <v>2</v>
      </c>
      <c r="N256" s="169">
        <v>-0.23499999999999999</v>
      </c>
      <c r="O256" s="169">
        <v>0.11600000000000001</v>
      </c>
      <c r="P256" s="169">
        <v>7.0000000000000007E-2</v>
      </c>
    </row>
    <row r="257" spans="2:17" ht="14" customHeight="1" x14ac:dyDescent="0.25">
      <c r="B257" s="170">
        <v>6</v>
      </c>
      <c r="C257" s="170" t="s">
        <v>69</v>
      </c>
      <c r="D257" s="168">
        <v>1.3</v>
      </c>
      <c r="E257" s="170">
        <v>1.6</v>
      </c>
      <c r="F257" s="169">
        <v>0.28899999999999998</v>
      </c>
      <c r="G257" s="169">
        <v>5.7000000000000002E-2</v>
      </c>
      <c r="H257" s="169">
        <v>5.8000000000000003E-2</v>
      </c>
      <c r="J257" s="170">
        <v>6</v>
      </c>
      <c r="K257" s="170" t="s">
        <v>69</v>
      </c>
      <c r="L257" s="168">
        <v>1.3</v>
      </c>
      <c r="M257" s="170">
        <v>1.6</v>
      </c>
      <c r="N257" s="169">
        <v>0.28899999999999998</v>
      </c>
      <c r="O257" s="169">
        <v>5.7000000000000002E-2</v>
      </c>
      <c r="P257" s="169">
        <v>5.8000000000000003E-2</v>
      </c>
    </row>
    <row r="258" spans="2:17" ht="14" customHeight="1" x14ac:dyDescent="0.25">
      <c r="B258" s="170">
        <v>7</v>
      </c>
      <c r="C258" s="170" t="s">
        <v>705</v>
      </c>
      <c r="D258" s="168">
        <v>0.1</v>
      </c>
      <c r="E258" s="170">
        <v>0.8</v>
      </c>
      <c r="F258" s="169">
        <v>9.1839999999999993</v>
      </c>
      <c r="G258" s="169">
        <v>4.0000000000000001E-3</v>
      </c>
      <c r="H258" s="169">
        <v>0.03</v>
      </c>
      <c r="J258" s="170">
        <v>7</v>
      </c>
      <c r="K258" s="170" t="s">
        <v>705</v>
      </c>
      <c r="L258" s="168">
        <v>0.1</v>
      </c>
      <c r="M258" s="170">
        <v>0.8</v>
      </c>
      <c r="N258" s="169">
        <v>9.1839999999999993</v>
      </c>
      <c r="O258" s="169">
        <v>4.0000000000000001E-3</v>
      </c>
      <c r="P258" s="169">
        <v>0.03</v>
      </c>
    </row>
    <row r="259" spans="2:17" ht="14" customHeight="1" x14ac:dyDescent="0.25">
      <c r="B259" s="170">
        <v>8</v>
      </c>
      <c r="C259" s="170" t="s">
        <v>46</v>
      </c>
      <c r="D259" s="168">
        <v>0.5</v>
      </c>
      <c r="E259" s="170">
        <v>0.7</v>
      </c>
      <c r="F259" s="169">
        <v>0</v>
      </c>
      <c r="G259" s="169">
        <v>2.1999999999999999E-2</v>
      </c>
      <c r="H259" s="169">
        <v>2.4E-2</v>
      </c>
      <c r="J259" s="170">
        <v>8</v>
      </c>
      <c r="K259" s="170" t="s">
        <v>46</v>
      </c>
      <c r="L259" s="168">
        <v>0.5</v>
      </c>
      <c r="M259" s="170">
        <v>0.7</v>
      </c>
      <c r="N259" s="169">
        <v>0</v>
      </c>
      <c r="O259" s="169">
        <v>2.1999999999999999E-2</v>
      </c>
      <c r="P259" s="169">
        <v>2.4E-2</v>
      </c>
    </row>
    <row r="260" spans="2:17" ht="14" customHeight="1" x14ac:dyDescent="0.25">
      <c r="B260" s="170">
        <v>9</v>
      </c>
      <c r="C260" s="170" t="s">
        <v>70</v>
      </c>
      <c r="D260" s="168">
        <v>0.4</v>
      </c>
      <c r="E260" s="170">
        <v>0.6</v>
      </c>
      <c r="F260" s="169">
        <v>0.66500000000000004</v>
      </c>
      <c r="G260" s="169">
        <v>1.7000000000000001E-2</v>
      </c>
      <c r="H260" s="169">
        <v>2.1999999999999999E-2</v>
      </c>
      <c r="J260" s="170">
        <v>9</v>
      </c>
      <c r="K260" s="170" t="s">
        <v>70</v>
      </c>
      <c r="L260" s="168">
        <v>0.4</v>
      </c>
      <c r="M260" s="170">
        <v>0.6</v>
      </c>
      <c r="N260" s="169">
        <v>0.66500000000000004</v>
      </c>
      <c r="O260" s="169">
        <v>1.7000000000000001E-2</v>
      </c>
      <c r="P260" s="169">
        <v>2.1999999999999999E-2</v>
      </c>
    </row>
    <row r="261" spans="2:17" ht="14" customHeight="1" x14ac:dyDescent="0.25">
      <c r="B261" s="170">
        <v>10</v>
      </c>
      <c r="C261" s="7" t="s">
        <v>100</v>
      </c>
      <c r="D261" s="168">
        <v>0.3</v>
      </c>
      <c r="E261" s="170">
        <v>0.6</v>
      </c>
      <c r="F261" s="169">
        <v>1.054</v>
      </c>
      <c r="G261" s="169">
        <v>1.2999999999999999E-2</v>
      </c>
      <c r="H261" s="169">
        <v>2.1000000000000001E-2</v>
      </c>
      <c r="J261" s="170">
        <v>10</v>
      </c>
      <c r="K261" s="7" t="s">
        <v>100</v>
      </c>
      <c r="L261" s="168">
        <v>0.3</v>
      </c>
      <c r="M261" s="170">
        <v>0.6</v>
      </c>
      <c r="N261" s="169">
        <v>1.054</v>
      </c>
      <c r="O261" s="169">
        <v>1.2999999999999999E-2</v>
      </c>
      <c r="P261" s="169">
        <v>2.1000000000000001E-2</v>
      </c>
    </row>
    <row r="262" spans="2:17" ht="14" customHeight="1" x14ac:dyDescent="0.25">
      <c r="B262" s="340" t="s">
        <v>77</v>
      </c>
      <c r="C262" s="341"/>
      <c r="D262" s="168">
        <v>1.8</v>
      </c>
      <c r="E262" s="170">
        <v>2.6</v>
      </c>
      <c r="F262" s="169">
        <v>0.46899999999999997</v>
      </c>
      <c r="G262" s="169">
        <v>0.08</v>
      </c>
      <c r="H262" s="169">
        <v>9.2999999999999999E-2</v>
      </c>
      <c r="J262" s="340" t="s">
        <v>77</v>
      </c>
      <c r="K262" s="341"/>
      <c r="L262" s="168">
        <v>1.8</v>
      </c>
      <c r="M262" s="170">
        <v>2.6</v>
      </c>
      <c r="N262" s="169">
        <v>0.46899999999999997</v>
      </c>
      <c r="O262" s="169">
        <v>0.08</v>
      </c>
      <c r="P262" s="169">
        <v>9.2999999999999999E-2</v>
      </c>
    </row>
    <row r="263" spans="2:17" ht="14" customHeight="1" x14ac:dyDescent="0.25">
      <c r="B263" s="340" t="s">
        <v>78</v>
      </c>
      <c r="C263" s="341"/>
      <c r="D263" s="168">
        <v>22.1</v>
      </c>
      <c r="E263" s="170">
        <v>28</v>
      </c>
      <c r="F263" s="169">
        <v>0.26500000000000001</v>
      </c>
      <c r="G263" s="169">
        <v>1</v>
      </c>
      <c r="H263" s="169">
        <v>1</v>
      </c>
      <c r="J263" s="340" t="s">
        <v>78</v>
      </c>
      <c r="K263" s="341"/>
      <c r="L263" s="168">
        <v>22.1</v>
      </c>
      <c r="M263" s="170">
        <v>28</v>
      </c>
      <c r="N263" s="169">
        <v>0.26500000000000001</v>
      </c>
      <c r="O263" s="169">
        <v>1</v>
      </c>
      <c r="P263" s="169">
        <v>1</v>
      </c>
    </row>
    <row r="264" spans="2:17" ht="14" customHeight="1" x14ac:dyDescent="0.25">
      <c r="B264" s="21"/>
      <c r="C264" s="21"/>
      <c r="D264" s="171"/>
      <c r="E264" s="171"/>
      <c r="F264" s="51"/>
      <c r="G264" s="51"/>
      <c r="H264" s="51"/>
      <c r="J264" s="21"/>
      <c r="K264" s="21"/>
      <c r="L264" s="171"/>
      <c r="M264" s="171"/>
      <c r="N264" s="51"/>
      <c r="O264" s="51"/>
      <c r="P264" s="51"/>
    </row>
    <row r="265" spans="2:17" ht="14" customHeight="1" x14ac:dyDescent="0.25">
      <c r="B265" s="10" t="s">
        <v>730</v>
      </c>
      <c r="C265" s="21"/>
      <c r="D265" s="171"/>
      <c r="E265" s="171"/>
      <c r="F265" s="51"/>
      <c r="G265" s="51"/>
      <c r="H265" s="51"/>
      <c r="J265" s="10" t="s">
        <v>730</v>
      </c>
      <c r="K265" s="21"/>
      <c r="L265" s="171"/>
      <c r="M265" s="171"/>
      <c r="N265" s="51"/>
      <c r="O265" s="51"/>
      <c r="P265" s="51"/>
    </row>
    <row r="266" spans="2:17" ht="14" customHeight="1" x14ac:dyDescent="0.25">
      <c r="B266" s="37" t="s">
        <v>96</v>
      </c>
      <c r="C266" s="7" t="s">
        <v>381</v>
      </c>
      <c r="D266" s="146">
        <v>45627</v>
      </c>
      <c r="E266" s="146">
        <v>45261</v>
      </c>
      <c r="F266" s="7" t="s">
        <v>34</v>
      </c>
      <c r="G266" s="7" t="s">
        <v>97</v>
      </c>
      <c r="H266" s="7" t="s">
        <v>124</v>
      </c>
      <c r="J266" s="37" t="s">
        <v>96</v>
      </c>
      <c r="K266" s="7" t="s">
        <v>381</v>
      </c>
      <c r="L266" s="146" t="s">
        <v>731</v>
      </c>
      <c r="M266" s="146" t="s">
        <v>177</v>
      </c>
      <c r="N266" s="7" t="s">
        <v>34</v>
      </c>
      <c r="O266" s="7" t="s">
        <v>97</v>
      </c>
      <c r="P266" s="172" t="s">
        <v>124</v>
      </c>
      <c r="Q266" s="173"/>
    </row>
    <row r="267" spans="2:17" ht="14" customHeight="1" x14ac:dyDescent="0.25">
      <c r="B267" s="170">
        <v>1</v>
      </c>
      <c r="C267" s="7" t="s">
        <v>98</v>
      </c>
      <c r="D267" s="168">
        <v>12.5</v>
      </c>
      <c r="E267" s="168">
        <v>8.4</v>
      </c>
      <c r="F267" s="169">
        <v>0.48799999999999999</v>
      </c>
      <c r="G267" s="169">
        <v>0.27</v>
      </c>
      <c r="H267" s="169">
        <v>0.27</v>
      </c>
      <c r="J267" s="170">
        <v>1</v>
      </c>
      <c r="K267" s="7" t="s">
        <v>98</v>
      </c>
      <c r="L267" s="168">
        <v>97.4</v>
      </c>
      <c r="M267" s="168">
        <v>87.8</v>
      </c>
      <c r="N267" s="169">
        <v>0.109</v>
      </c>
      <c r="O267" s="169">
        <v>0.27</v>
      </c>
      <c r="P267" s="174">
        <v>0.27</v>
      </c>
      <c r="Q267" s="175"/>
    </row>
    <row r="268" spans="2:17" ht="14" customHeight="1" x14ac:dyDescent="0.25">
      <c r="B268" s="170">
        <v>2</v>
      </c>
      <c r="C268" s="7" t="s">
        <v>172</v>
      </c>
      <c r="D268" s="168">
        <v>4.5999999999999996</v>
      </c>
      <c r="E268" s="168">
        <v>8.8000000000000007</v>
      </c>
      <c r="F268" s="169">
        <v>-0.47699999999999998</v>
      </c>
      <c r="G268" s="169">
        <v>0.246</v>
      </c>
      <c r="H268" s="169">
        <v>0.246</v>
      </c>
      <c r="J268" s="170">
        <v>2</v>
      </c>
      <c r="K268" s="7" t="s">
        <v>172</v>
      </c>
      <c r="L268" s="168">
        <v>88.8</v>
      </c>
      <c r="M268" s="168">
        <v>87.9</v>
      </c>
      <c r="N268" s="169">
        <v>0.01</v>
      </c>
      <c r="O268" s="169">
        <v>0.246</v>
      </c>
      <c r="P268" s="174">
        <v>0.246</v>
      </c>
      <c r="Q268" s="175"/>
    </row>
    <row r="269" spans="2:17" ht="14" customHeight="1" x14ac:dyDescent="0.25">
      <c r="B269" s="170">
        <v>3</v>
      </c>
      <c r="C269" s="7" t="s">
        <v>36</v>
      </c>
      <c r="D269" s="168">
        <v>3.8</v>
      </c>
      <c r="E269" s="168">
        <v>3</v>
      </c>
      <c r="F269" s="169">
        <v>0.26700000000000002</v>
      </c>
      <c r="G269" s="169">
        <v>0.108</v>
      </c>
      <c r="H269" s="169">
        <v>0.108</v>
      </c>
      <c r="J269" s="170">
        <v>3</v>
      </c>
      <c r="K269" s="7" t="s">
        <v>36</v>
      </c>
      <c r="L269" s="168">
        <v>39</v>
      </c>
      <c r="M269" s="168">
        <v>34.299999999999997</v>
      </c>
      <c r="N269" s="169">
        <v>0.13700000000000001</v>
      </c>
      <c r="O269" s="169">
        <v>0.108</v>
      </c>
      <c r="P269" s="174">
        <v>0.108</v>
      </c>
      <c r="Q269" s="175"/>
    </row>
    <row r="270" spans="2:17" ht="14" customHeight="1" x14ac:dyDescent="0.25">
      <c r="B270" s="170">
        <v>4</v>
      </c>
      <c r="C270" s="7" t="s">
        <v>102</v>
      </c>
      <c r="D270" s="168">
        <v>3.9</v>
      </c>
      <c r="E270" s="168">
        <v>3.6</v>
      </c>
      <c r="F270" s="169">
        <v>8.3000000000000004E-2</v>
      </c>
      <c r="G270" s="169">
        <v>9.7000000000000003E-2</v>
      </c>
      <c r="H270" s="169">
        <v>9.7000000000000003E-2</v>
      </c>
      <c r="J270" s="170">
        <v>4</v>
      </c>
      <c r="K270" s="7" t="s">
        <v>102</v>
      </c>
      <c r="L270" s="168">
        <v>35.1</v>
      </c>
      <c r="M270" s="168">
        <v>42.8</v>
      </c>
      <c r="N270" s="169">
        <v>-0.18</v>
      </c>
      <c r="O270" s="169">
        <v>9.7000000000000003E-2</v>
      </c>
      <c r="P270" s="174">
        <v>9.7000000000000003E-2</v>
      </c>
      <c r="Q270" s="175"/>
    </row>
    <row r="271" spans="2:17" ht="14" customHeight="1" x14ac:dyDescent="0.25">
      <c r="B271" s="170">
        <v>5</v>
      </c>
      <c r="C271" s="37" t="s">
        <v>115</v>
      </c>
      <c r="D271" s="168">
        <v>0.6</v>
      </c>
      <c r="E271" s="168">
        <v>4.2</v>
      </c>
      <c r="F271" s="169">
        <v>-0.85699999999999998</v>
      </c>
      <c r="G271" s="169">
        <v>8.2000000000000003E-2</v>
      </c>
      <c r="H271" s="169">
        <v>8.2000000000000003E-2</v>
      </c>
      <c r="J271" s="170">
        <v>5</v>
      </c>
      <c r="K271" s="37" t="s">
        <v>115</v>
      </c>
      <c r="L271" s="168">
        <v>29.5</v>
      </c>
      <c r="M271" s="168">
        <v>33</v>
      </c>
      <c r="N271" s="169">
        <v>-0.106</v>
      </c>
      <c r="O271" s="169">
        <v>8.2000000000000003E-2</v>
      </c>
      <c r="P271" s="174">
        <v>8.2000000000000003E-2</v>
      </c>
      <c r="Q271" s="175"/>
    </row>
    <row r="272" spans="2:17" ht="14" customHeight="1" x14ac:dyDescent="0.25">
      <c r="B272" s="170">
        <v>6</v>
      </c>
      <c r="C272" s="170" t="s">
        <v>69</v>
      </c>
      <c r="D272" s="168">
        <v>1.6</v>
      </c>
      <c r="E272" s="168">
        <v>1.1000000000000001</v>
      </c>
      <c r="F272" s="169">
        <v>0.45500000000000002</v>
      </c>
      <c r="G272" s="169">
        <v>4.1000000000000002E-2</v>
      </c>
      <c r="H272" s="169">
        <v>4.1000000000000002E-2</v>
      </c>
      <c r="J272" s="170">
        <v>6</v>
      </c>
      <c r="K272" s="170" t="s">
        <v>69</v>
      </c>
      <c r="L272" s="168">
        <v>14.8</v>
      </c>
      <c r="M272" s="168">
        <v>6.8</v>
      </c>
      <c r="N272" s="169">
        <v>1.1759999999999999</v>
      </c>
      <c r="O272" s="169">
        <v>4.1000000000000002E-2</v>
      </c>
      <c r="P272" s="174">
        <v>4.1000000000000002E-2</v>
      </c>
      <c r="Q272" s="175"/>
    </row>
    <row r="273" spans="2:17" ht="14" customHeight="1" x14ac:dyDescent="0.25">
      <c r="B273" s="170">
        <v>7</v>
      </c>
      <c r="C273" s="170" t="s">
        <v>705</v>
      </c>
      <c r="D273" s="168">
        <v>1</v>
      </c>
      <c r="E273" s="168">
        <v>0.1</v>
      </c>
      <c r="F273" s="169">
        <v>9</v>
      </c>
      <c r="G273" s="169">
        <v>2.1999999999999999E-2</v>
      </c>
      <c r="H273" s="169">
        <v>2.1999999999999999E-2</v>
      </c>
      <c r="J273" s="170">
        <v>7</v>
      </c>
      <c r="K273" s="170" t="s">
        <v>705</v>
      </c>
      <c r="L273" s="168">
        <v>8</v>
      </c>
      <c r="M273" s="168">
        <v>0.1</v>
      </c>
      <c r="N273" s="169">
        <v>79</v>
      </c>
      <c r="O273" s="169">
        <v>2.1999999999999999E-2</v>
      </c>
      <c r="P273" s="174">
        <v>2.1999999999999999E-2</v>
      </c>
      <c r="Q273" s="175"/>
    </row>
    <row r="274" spans="2:17" ht="14" customHeight="1" x14ac:dyDescent="0.25">
      <c r="B274" s="170">
        <v>8</v>
      </c>
      <c r="C274" s="170" t="s">
        <v>357</v>
      </c>
      <c r="D274" s="168">
        <v>0.9</v>
      </c>
      <c r="E274" s="168">
        <v>0.8</v>
      </c>
      <c r="F274" s="169">
        <v>0.125</v>
      </c>
      <c r="G274" s="169">
        <v>2.1000000000000001E-2</v>
      </c>
      <c r="H274" s="169">
        <v>2.1000000000000001E-2</v>
      </c>
      <c r="J274" s="170">
        <v>8</v>
      </c>
      <c r="K274" s="170" t="s">
        <v>357</v>
      </c>
      <c r="L274" s="168">
        <v>7.5</v>
      </c>
      <c r="M274" s="168">
        <v>5.4</v>
      </c>
      <c r="N274" s="169">
        <v>0.38900000000000001</v>
      </c>
      <c r="O274" s="169">
        <v>2.1000000000000001E-2</v>
      </c>
      <c r="P274" s="174">
        <v>2.1000000000000001E-2</v>
      </c>
      <c r="Q274" s="175"/>
    </row>
    <row r="275" spans="2:17" ht="14" customHeight="1" x14ac:dyDescent="0.25">
      <c r="B275" s="170">
        <v>9</v>
      </c>
      <c r="C275" s="170" t="s">
        <v>46</v>
      </c>
      <c r="D275" s="168">
        <v>-0.2</v>
      </c>
      <c r="E275" s="168">
        <v>0.6</v>
      </c>
      <c r="F275" s="169">
        <v>-1.333</v>
      </c>
      <c r="G275" s="169">
        <v>0.02</v>
      </c>
      <c r="H275" s="169">
        <v>0.02</v>
      </c>
      <c r="J275" s="170">
        <v>9</v>
      </c>
      <c r="K275" s="170" t="s">
        <v>46</v>
      </c>
      <c r="L275" s="168">
        <v>7.4</v>
      </c>
      <c r="M275" s="168">
        <v>5.7</v>
      </c>
      <c r="N275" s="169">
        <v>0.29799999999999999</v>
      </c>
      <c r="O275" s="169">
        <v>0.02</v>
      </c>
      <c r="P275" s="174">
        <v>0.02</v>
      </c>
      <c r="Q275" s="175"/>
    </row>
    <row r="276" spans="2:17" ht="14" customHeight="1" x14ac:dyDescent="0.25">
      <c r="B276" s="170">
        <v>10</v>
      </c>
      <c r="C276" s="7" t="s">
        <v>100</v>
      </c>
      <c r="D276" s="168">
        <v>0.7</v>
      </c>
      <c r="E276" s="168">
        <v>0.2</v>
      </c>
      <c r="F276" s="169">
        <v>2.5</v>
      </c>
      <c r="G276" s="169">
        <v>1.9E-2</v>
      </c>
      <c r="H276" s="169">
        <v>1.9E-2</v>
      </c>
      <c r="J276" s="170">
        <v>10</v>
      </c>
      <c r="K276" s="7" t="s">
        <v>100</v>
      </c>
      <c r="L276" s="168">
        <v>6.7</v>
      </c>
      <c r="M276" s="168">
        <v>1.7</v>
      </c>
      <c r="N276" s="169">
        <v>2.9409999999999998</v>
      </c>
      <c r="O276" s="169">
        <v>1.9E-2</v>
      </c>
      <c r="P276" s="174">
        <v>1.9E-2</v>
      </c>
      <c r="Q276" s="175"/>
    </row>
    <row r="277" spans="2:17" ht="14" customHeight="1" x14ac:dyDescent="0.25">
      <c r="B277" s="340"/>
      <c r="C277" s="341" t="s">
        <v>77</v>
      </c>
      <c r="D277" s="168">
        <v>6.4</v>
      </c>
      <c r="E277" s="168">
        <v>1.5</v>
      </c>
      <c r="F277" s="169">
        <v>3.2669999999999999</v>
      </c>
      <c r="G277" s="169">
        <v>7.4999999999999997E-2</v>
      </c>
      <c r="H277" s="169">
        <v>7.4999999999999997E-2</v>
      </c>
      <c r="J277" s="340" t="s">
        <v>77</v>
      </c>
      <c r="K277" s="341"/>
      <c r="L277" s="168">
        <v>27.2</v>
      </c>
      <c r="M277" s="168">
        <v>14.1</v>
      </c>
      <c r="N277" s="169">
        <v>0.92900000000000005</v>
      </c>
      <c r="O277" s="169">
        <v>7.4999999999999997E-2</v>
      </c>
      <c r="P277" s="174">
        <v>7.4999999999999997E-2</v>
      </c>
      <c r="Q277" s="175"/>
    </row>
    <row r="278" spans="2:17" ht="14" customHeight="1" x14ac:dyDescent="0.25">
      <c r="B278" s="340" t="s">
        <v>91</v>
      </c>
      <c r="C278" s="341"/>
      <c r="D278" s="168">
        <v>35.799999999999997</v>
      </c>
      <c r="E278" s="168">
        <v>32.200000000000003</v>
      </c>
      <c r="F278" s="169">
        <v>0.112</v>
      </c>
      <c r="G278" s="169">
        <v>1</v>
      </c>
      <c r="H278" s="169">
        <v>1</v>
      </c>
      <c r="J278" s="340" t="s">
        <v>91</v>
      </c>
      <c r="K278" s="341"/>
      <c r="L278" s="168">
        <v>361.4</v>
      </c>
      <c r="M278" s="168">
        <v>319.60000000000002</v>
      </c>
      <c r="N278" s="169">
        <v>0.13100000000000001</v>
      </c>
      <c r="O278" s="169">
        <v>1</v>
      </c>
      <c r="P278" s="174">
        <v>1</v>
      </c>
      <c r="Q278" s="175"/>
    </row>
    <row r="279" spans="2:17" ht="14" customHeight="1" x14ac:dyDescent="0.25">
      <c r="B279" s="176"/>
      <c r="C279" s="176"/>
      <c r="D279" s="176"/>
      <c r="E279" s="176"/>
      <c r="F279" s="177"/>
      <c r="G279" s="177"/>
      <c r="H279" s="177"/>
    </row>
    <row r="280" spans="2:17" ht="14" customHeight="1" x14ac:dyDescent="0.25">
      <c r="B280" s="10" t="s">
        <v>732</v>
      </c>
      <c r="J280" s="10" t="s">
        <v>733</v>
      </c>
    </row>
    <row r="281" spans="2:17" ht="14" customHeight="1" x14ac:dyDescent="0.25">
      <c r="B281" s="37" t="s">
        <v>96</v>
      </c>
      <c r="C281" s="7" t="s">
        <v>123</v>
      </c>
      <c r="D281" s="146">
        <v>45597</v>
      </c>
      <c r="E281" s="146">
        <v>45231</v>
      </c>
      <c r="F281" s="7" t="s">
        <v>34</v>
      </c>
      <c r="G281" s="7" t="s">
        <v>97</v>
      </c>
      <c r="H281" s="7" t="s">
        <v>124</v>
      </c>
      <c r="J281" s="37" t="s">
        <v>96</v>
      </c>
      <c r="K281" s="7" t="s">
        <v>123</v>
      </c>
      <c r="L281" s="146" t="s">
        <v>133</v>
      </c>
      <c r="M281" s="146" t="s">
        <v>134</v>
      </c>
      <c r="N281" s="7" t="s">
        <v>34</v>
      </c>
      <c r="O281" s="7" t="s">
        <v>97</v>
      </c>
      <c r="P281" s="7" t="s">
        <v>124</v>
      </c>
    </row>
    <row r="282" spans="2:17" ht="14" customHeight="1" x14ac:dyDescent="0.25">
      <c r="B282" s="170">
        <v>1</v>
      </c>
      <c r="C282" s="7" t="s">
        <v>98</v>
      </c>
      <c r="D282" s="168">
        <f t="shared" ref="D282:E288" si="88">L282-L297</f>
        <v>8.3000000000000114</v>
      </c>
      <c r="E282" s="168">
        <f t="shared" si="88"/>
        <v>8.3000000000000114</v>
      </c>
      <c r="F282" s="169">
        <f>D282/E282-1</f>
        <v>0</v>
      </c>
      <c r="G282" s="169">
        <f t="shared" ref="G282:G293" si="89">D282/$D$308</f>
        <v>0.26349206349206383</v>
      </c>
      <c r="H282" s="169">
        <f t="shared" ref="H282:H293" si="90">E282/$E$308</f>
        <v>0.30402930402930461</v>
      </c>
      <c r="J282" s="170">
        <v>1</v>
      </c>
      <c r="K282" s="7" t="s">
        <v>98</v>
      </c>
      <c r="L282" s="168">
        <v>84.9</v>
      </c>
      <c r="M282" s="168">
        <v>79.400000000000006</v>
      </c>
      <c r="N282" s="169">
        <f>L282/M282-1</f>
        <v>6.9269521410579404E-2</v>
      </c>
      <c r="O282" s="169">
        <f>L282/$L$293</f>
        <v>0.26074938574938578</v>
      </c>
      <c r="P282" s="169">
        <f>M282/$M$293</f>
        <v>0.27627000695894227</v>
      </c>
    </row>
    <row r="283" spans="2:17" ht="14" customHeight="1" x14ac:dyDescent="0.25">
      <c r="B283" s="170">
        <v>2</v>
      </c>
      <c r="C283" s="7" t="s">
        <v>172</v>
      </c>
      <c r="D283" s="168">
        <f t="shared" si="88"/>
        <v>9.1000000000000085</v>
      </c>
      <c r="E283" s="168">
        <f t="shared" si="88"/>
        <v>8.3999999999999915</v>
      </c>
      <c r="F283" s="169">
        <f t="shared" ref="F283:F293" si="91">D283/E283-1</f>
        <v>8.333333333333548E-2</v>
      </c>
      <c r="G283" s="169">
        <f t="shared" si="89"/>
        <v>0.28888888888888914</v>
      </c>
      <c r="H283" s="169">
        <f t="shared" si="90"/>
        <v>0.3076923076923076</v>
      </c>
      <c r="J283" s="170">
        <v>2</v>
      </c>
      <c r="K283" s="7" t="s">
        <v>172</v>
      </c>
      <c r="L283" s="168">
        <v>84.2</v>
      </c>
      <c r="M283" s="168">
        <v>79.099999999999994</v>
      </c>
      <c r="N283" s="169">
        <f t="shared" ref="N283:N288" si="92">L283/M283-1</f>
        <v>6.4475347661188565E-2</v>
      </c>
      <c r="O283" s="169">
        <f t="shared" ref="O283:O293" si="93">L283/$L$293</f>
        <v>0.25859950859950859</v>
      </c>
      <c r="P283" s="169">
        <f t="shared" ref="P283:P293" si="94">M283/$M$293</f>
        <v>0.27522616562282531</v>
      </c>
    </row>
    <row r="284" spans="2:17" ht="14" customHeight="1" x14ac:dyDescent="0.25">
      <c r="B284" s="170">
        <v>3</v>
      </c>
      <c r="C284" s="7" t="s">
        <v>25</v>
      </c>
      <c r="D284" s="168">
        <f t="shared" si="88"/>
        <v>4.2000000000000028</v>
      </c>
      <c r="E284" s="168">
        <f t="shared" si="88"/>
        <v>3.1000000000000014</v>
      </c>
      <c r="F284" s="169">
        <f t="shared" si="91"/>
        <v>0.35483870967741971</v>
      </c>
      <c r="G284" s="169">
        <f t="shared" si="89"/>
        <v>0.13333333333333341</v>
      </c>
      <c r="H284" s="169">
        <f t="shared" si="90"/>
        <v>0.11355311355311368</v>
      </c>
      <c r="J284" s="170">
        <v>3</v>
      </c>
      <c r="K284" s="7" t="s">
        <v>25</v>
      </c>
      <c r="L284" s="168">
        <v>35.200000000000003</v>
      </c>
      <c r="M284" s="168">
        <v>31.3</v>
      </c>
      <c r="N284" s="169">
        <f t="shared" si="92"/>
        <v>0.12460063897763596</v>
      </c>
      <c r="O284" s="169">
        <f t="shared" si="93"/>
        <v>0.10810810810810811</v>
      </c>
      <c r="P284" s="169">
        <f t="shared" si="94"/>
        <v>0.10890744606819765</v>
      </c>
    </row>
    <row r="285" spans="2:17" ht="14" customHeight="1" x14ac:dyDescent="0.25">
      <c r="B285" s="170">
        <v>4</v>
      </c>
      <c r="C285" s="7" t="s">
        <v>102</v>
      </c>
      <c r="D285" s="168">
        <f t="shared" si="88"/>
        <v>2.8000000000000007</v>
      </c>
      <c r="E285" s="168">
        <f t="shared" si="88"/>
        <v>3.2000000000000028</v>
      </c>
      <c r="F285" s="169">
        <f t="shared" si="91"/>
        <v>-0.12500000000000056</v>
      </c>
      <c r="G285" s="169">
        <f t="shared" si="89"/>
        <v>8.8888888888888906E-2</v>
      </c>
      <c r="H285" s="169">
        <f t="shared" si="90"/>
        <v>0.1172161172161174</v>
      </c>
      <c r="J285" s="170">
        <v>4</v>
      </c>
      <c r="K285" s="7" t="s">
        <v>102</v>
      </c>
      <c r="L285" s="168">
        <v>31.2</v>
      </c>
      <c r="M285" s="168">
        <v>39.200000000000003</v>
      </c>
      <c r="N285" s="169">
        <f t="shared" si="92"/>
        <v>-0.20408163265306134</v>
      </c>
      <c r="O285" s="169">
        <f t="shared" si="93"/>
        <v>9.5823095823095811E-2</v>
      </c>
      <c r="P285" s="169">
        <f t="shared" si="94"/>
        <v>0.13639526791927628</v>
      </c>
    </row>
    <row r="286" spans="2:17" ht="14" customHeight="1" x14ac:dyDescent="0.25">
      <c r="B286" s="170">
        <v>5</v>
      </c>
      <c r="C286" s="37" t="s">
        <v>115</v>
      </c>
      <c r="D286" s="168">
        <f t="shared" si="88"/>
        <v>2.6999999999999993</v>
      </c>
      <c r="E286" s="168">
        <f t="shared" si="88"/>
        <v>3.3000000000000007</v>
      </c>
      <c r="F286" s="169">
        <f t="shared" si="91"/>
        <v>-0.18181818181818221</v>
      </c>
      <c r="G286" s="169">
        <f t="shared" si="89"/>
        <v>8.5714285714285687E-2</v>
      </c>
      <c r="H286" s="169">
        <f t="shared" si="90"/>
        <v>0.12087912087912098</v>
      </c>
      <c r="J286" s="170">
        <v>5</v>
      </c>
      <c r="K286" s="37" t="s">
        <v>115</v>
      </c>
      <c r="L286" s="168">
        <v>28.9</v>
      </c>
      <c r="M286" s="168">
        <v>28.8</v>
      </c>
      <c r="N286" s="169">
        <f t="shared" si="92"/>
        <v>3.4722222222220989E-3</v>
      </c>
      <c r="O286" s="169">
        <f t="shared" si="93"/>
        <v>8.8759213759213751E-2</v>
      </c>
      <c r="P286" s="169">
        <f t="shared" si="94"/>
        <v>0.10020876826722339</v>
      </c>
    </row>
    <row r="287" spans="2:17" ht="14" customHeight="1" x14ac:dyDescent="0.25">
      <c r="B287" s="170">
        <v>6</v>
      </c>
      <c r="C287" s="170" t="s">
        <v>69</v>
      </c>
      <c r="D287" s="168">
        <f t="shared" si="88"/>
        <v>1.5</v>
      </c>
      <c r="E287" s="168">
        <f t="shared" si="88"/>
        <v>0.90000000000000036</v>
      </c>
      <c r="F287" s="169">
        <f t="shared" si="91"/>
        <v>0.66666666666666607</v>
      </c>
      <c r="G287" s="169">
        <f t="shared" si="89"/>
        <v>4.7619047619047616E-2</v>
      </c>
      <c r="H287" s="169">
        <f t="shared" si="90"/>
        <v>3.2967032967033003E-2</v>
      </c>
      <c r="J287" s="170">
        <v>6</v>
      </c>
      <c r="K287" s="170" t="s">
        <v>69</v>
      </c>
      <c r="L287" s="168">
        <v>13.2</v>
      </c>
      <c r="M287" s="168">
        <v>5.7</v>
      </c>
      <c r="N287" s="169">
        <f t="shared" si="92"/>
        <v>1.3157894736842102</v>
      </c>
      <c r="O287" s="169">
        <f t="shared" si="93"/>
        <v>4.0540540540540536E-2</v>
      </c>
      <c r="P287" s="169">
        <f t="shared" si="94"/>
        <v>1.9832985386221295E-2</v>
      </c>
    </row>
    <row r="288" spans="2:17" ht="14" customHeight="1" x14ac:dyDescent="0.25">
      <c r="B288" s="170">
        <v>7</v>
      </c>
      <c r="C288" s="170" t="s">
        <v>46</v>
      </c>
      <c r="D288" s="168">
        <f t="shared" si="88"/>
        <v>0.69999999999999929</v>
      </c>
      <c r="E288" s="168">
        <f t="shared" si="88"/>
        <v>0.5</v>
      </c>
      <c r="F288" s="169">
        <f t="shared" si="91"/>
        <v>0.39999999999999858</v>
      </c>
      <c r="G288" s="169">
        <f t="shared" si="89"/>
        <v>2.2222222222222199E-2</v>
      </c>
      <c r="H288" s="169">
        <f t="shared" si="90"/>
        <v>1.8315018315018326E-2</v>
      </c>
      <c r="J288" s="170">
        <v>7</v>
      </c>
      <c r="K288" s="170" t="s">
        <v>46</v>
      </c>
      <c r="L288" s="178">
        <v>7.6</v>
      </c>
      <c r="M288" s="168">
        <v>5.0999999999999996</v>
      </c>
      <c r="N288" s="169">
        <f t="shared" si="92"/>
        <v>0.49019607843137258</v>
      </c>
      <c r="O288" s="169">
        <f t="shared" si="93"/>
        <v>2.334152334152334E-2</v>
      </c>
      <c r="P288" s="169">
        <f t="shared" si="94"/>
        <v>1.7745302713987474E-2</v>
      </c>
    </row>
    <row r="289" spans="2:16" ht="14" customHeight="1" x14ac:dyDescent="0.25">
      <c r="B289" s="170">
        <v>8</v>
      </c>
      <c r="C289" s="170" t="s">
        <v>705</v>
      </c>
      <c r="D289" s="168">
        <f>L289-L305</f>
        <v>0.90000000000000036</v>
      </c>
      <c r="E289" s="168">
        <f>M289-M305</f>
        <v>0</v>
      </c>
      <c r="F289" s="169" t="s">
        <v>31</v>
      </c>
      <c r="G289" s="169">
        <f t="shared" si="89"/>
        <v>2.8571428571428584E-2</v>
      </c>
      <c r="H289" s="169">
        <f t="shared" si="90"/>
        <v>0</v>
      </c>
      <c r="J289" s="170">
        <v>8</v>
      </c>
      <c r="K289" s="170" t="s">
        <v>705</v>
      </c>
      <c r="L289" s="168">
        <v>7</v>
      </c>
      <c r="M289" s="168">
        <v>0</v>
      </c>
      <c r="N289" s="169" t="s">
        <v>31</v>
      </c>
      <c r="O289" s="169">
        <f t="shared" si="93"/>
        <v>2.1498771498771496E-2</v>
      </c>
      <c r="P289" s="169">
        <f t="shared" si="94"/>
        <v>0</v>
      </c>
    </row>
    <row r="290" spans="2:16" ht="14" customHeight="1" x14ac:dyDescent="0.25">
      <c r="B290" s="170">
        <v>9</v>
      </c>
      <c r="C290" s="170" t="s">
        <v>357</v>
      </c>
      <c r="D290" s="168">
        <f>L290-L306</f>
        <v>1.1999999999999993</v>
      </c>
      <c r="E290" s="168">
        <f>M290-M306</f>
        <v>0.79999999999999982</v>
      </c>
      <c r="F290" s="169">
        <f t="shared" si="91"/>
        <v>0.49999999999999933</v>
      </c>
      <c r="G290" s="169">
        <f t="shared" si="89"/>
        <v>3.8095238095238071E-2</v>
      </c>
      <c r="H290" s="169">
        <f t="shared" si="90"/>
        <v>2.9304029304029314E-2</v>
      </c>
      <c r="J290" s="170">
        <v>9</v>
      </c>
      <c r="K290" s="170" t="s">
        <v>357</v>
      </c>
      <c r="L290" s="168">
        <v>6.6</v>
      </c>
      <c r="M290" s="168">
        <v>4.5999999999999996</v>
      </c>
      <c r="N290" s="169">
        <f t="shared" ref="N290:N293" si="95">L290/M290-1</f>
        <v>0.43478260869565211</v>
      </c>
      <c r="O290" s="169">
        <f t="shared" si="93"/>
        <v>2.0270270270270268E-2</v>
      </c>
      <c r="P290" s="169">
        <f t="shared" si="94"/>
        <v>1.6005567153792623E-2</v>
      </c>
    </row>
    <row r="291" spans="2:16" ht="14" customHeight="1" x14ac:dyDescent="0.25">
      <c r="B291" s="170">
        <v>10</v>
      </c>
      <c r="C291" s="7" t="s">
        <v>100</v>
      </c>
      <c r="D291" s="168"/>
      <c r="E291" s="168">
        <f>M291-M304</f>
        <v>0.19999999999999996</v>
      </c>
      <c r="F291" s="169" t="s">
        <v>31</v>
      </c>
      <c r="G291" s="169">
        <f t="shared" si="89"/>
        <v>0</v>
      </c>
      <c r="H291" s="169">
        <f t="shared" si="90"/>
        <v>7.3260073260073286E-3</v>
      </c>
      <c r="J291" s="170">
        <v>10</v>
      </c>
      <c r="K291" s="7" t="s">
        <v>100</v>
      </c>
      <c r="L291" s="168">
        <v>6</v>
      </c>
      <c r="M291" s="168">
        <v>1.5</v>
      </c>
      <c r="N291" s="169">
        <f t="shared" si="95"/>
        <v>3</v>
      </c>
      <c r="O291" s="169">
        <f t="shared" si="93"/>
        <v>1.8427518427518427E-2</v>
      </c>
      <c r="P291" s="169">
        <f t="shared" si="94"/>
        <v>5.2192066805845519E-3</v>
      </c>
    </row>
    <row r="292" spans="2:16" ht="14" customHeight="1" x14ac:dyDescent="0.25">
      <c r="B292" s="340" t="s">
        <v>77</v>
      </c>
      <c r="C292" s="341"/>
      <c r="D292" s="168">
        <f>D293-SUM(D282:D291)</f>
        <v>4.0000000000000107</v>
      </c>
      <c r="E292" s="168">
        <f>M292-M307</f>
        <v>1.1999999999999993</v>
      </c>
      <c r="F292" s="169">
        <f t="shared" si="91"/>
        <v>2.3333333333333441</v>
      </c>
      <c r="G292" s="169">
        <f t="shared" si="89"/>
        <v>0.12698412698412731</v>
      </c>
      <c r="H292" s="169">
        <f t="shared" si="90"/>
        <v>4.3956043956043959E-2</v>
      </c>
      <c r="J292" s="340" t="s">
        <v>77</v>
      </c>
      <c r="K292" s="341"/>
      <c r="L292" s="168">
        <v>20.8</v>
      </c>
      <c r="M292" s="168">
        <v>12.6</v>
      </c>
      <c r="N292" s="169">
        <f t="shared" si="95"/>
        <v>0.65079365079365092</v>
      </c>
      <c r="O292" s="169">
        <f t="shared" si="93"/>
        <v>6.3882063882063883E-2</v>
      </c>
      <c r="P292" s="169">
        <f t="shared" si="94"/>
        <v>4.3841336116910233E-2</v>
      </c>
    </row>
    <row r="293" spans="2:16" ht="14" customHeight="1" x14ac:dyDescent="0.25">
      <c r="B293" s="340" t="s">
        <v>78</v>
      </c>
      <c r="C293" s="341"/>
      <c r="D293" s="168">
        <f>L293-L308</f>
        <v>35.400000000000034</v>
      </c>
      <c r="E293" s="168">
        <f>M293-M308</f>
        <v>30</v>
      </c>
      <c r="F293" s="169">
        <f t="shared" si="91"/>
        <v>0.18000000000000105</v>
      </c>
      <c r="G293" s="169">
        <f t="shared" si="89"/>
        <v>1.1238095238095249</v>
      </c>
      <c r="H293" s="169">
        <f t="shared" si="90"/>
        <v>1.0989010989010997</v>
      </c>
      <c r="J293" s="340" t="s">
        <v>78</v>
      </c>
      <c r="K293" s="341"/>
      <c r="L293" s="168">
        <v>325.60000000000002</v>
      </c>
      <c r="M293" s="168">
        <v>287.39999999999998</v>
      </c>
      <c r="N293" s="169">
        <f t="shared" si="95"/>
        <v>0.13291579679888677</v>
      </c>
      <c r="O293" s="169">
        <f t="shared" si="93"/>
        <v>1</v>
      </c>
      <c r="P293" s="169">
        <f t="shared" si="94"/>
        <v>1</v>
      </c>
    </row>
    <row r="294" spans="2:16" ht="14" customHeight="1" x14ac:dyDescent="0.25">
      <c r="B294" s="10"/>
    </row>
    <row r="295" spans="2:16" ht="14" customHeight="1" x14ac:dyDescent="0.25">
      <c r="B295" s="10" t="s">
        <v>734</v>
      </c>
      <c r="J295" s="10" t="s">
        <v>735</v>
      </c>
    </row>
    <row r="296" spans="2:16" ht="14" customHeight="1" x14ac:dyDescent="0.25">
      <c r="B296" s="37" t="s">
        <v>96</v>
      </c>
      <c r="C296" s="7" t="s">
        <v>123</v>
      </c>
      <c r="D296" s="146">
        <v>45566</v>
      </c>
      <c r="E296" s="146">
        <v>45200</v>
      </c>
      <c r="F296" s="7" t="s">
        <v>34</v>
      </c>
      <c r="G296" s="7" t="s">
        <v>97</v>
      </c>
      <c r="H296" s="7" t="s">
        <v>124</v>
      </c>
      <c r="J296" s="37" t="s">
        <v>96</v>
      </c>
      <c r="K296" s="7" t="s">
        <v>123</v>
      </c>
      <c r="L296" s="146" t="s">
        <v>137</v>
      </c>
      <c r="M296" s="146" t="s">
        <v>138</v>
      </c>
      <c r="N296" s="7" t="s">
        <v>34</v>
      </c>
      <c r="O296" s="7" t="s">
        <v>97</v>
      </c>
      <c r="P296" s="7" t="s">
        <v>124</v>
      </c>
    </row>
    <row r="297" spans="2:16" ht="14" customHeight="1" x14ac:dyDescent="0.25">
      <c r="B297" s="170">
        <v>1</v>
      </c>
      <c r="C297" s="7" t="s">
        <v>172</v>
      </c>
      <c r="D297" s="168">
        <f t="shared" ref="D297:D308" si="96">L297-L312</f>
        <v>8.5</v>
      </c>
      <c r="E297" s="168">
        <f t="shared" ref="E297:E308" si="97">M297-M312</f>
        <v>7.6999999999999957</v>
      </c>
      <c r="F297" s="169">
        <f>D297/E297-1</f>
        <v>0.1038961038961046</v>
      </c>
      <c r="G297" s="169">
        <f>D297/$D$308</f>
        <v>0.26984126984126983</v>
      </c>
      <c r="H297" s="169">
        <f>E297/$E$308</f>
        <v>0.28205128205128205</v>
      </c>
      <c r="J297" s="170">
        <v>1</v>
      </c>
      <c r="K297" s="7" t="s">
        <v>98</v>
      </c>
      <c r="L297" s="168">
        <v>76.599999999999994</v>
      </c>
      <c r="M297" s="168">
        <v>71.099999999999994</v>
      </c>
      <c r="N297" s="169">
        <f>L297/M297-1</f>
        <v>7.7355836849507753E-2</v>
      </c>
      <c r="O297" s="169">
        <f>L297/$L$308</f>
        <v>0.26395589248793933</v>
      </c>
      <c r="P297" s="169">
        <f>M297/$M$308</f>
        <v>0.27622377622377625</v>
      </c>
    </row>
    <row r="298" spans="2:16" ht="14" customHeight="1" x14ac:dyDescent="0.25">
      <c r="B298" s="170">
        <v>2</v>
      </c>
      <c r="C298" s="7" t="s">
        <v>98</v>
      </c>
      <c r="D298" s="168">
        <f t="shared" si="96"/>
        <v>8.2999999999999972</v>
      </c>
      <c r="E298" s="168">
        <f t="shared" si="97"/>
        <v>6.5</v>
      </c>
      <c r="F298" s="169">
        <f t="shared" ref="F298:F308" si="98">D298/E298-1</f>
        <v>0.27692307692307638</v>
      </c>
      <c r="G298" s="169">
        <f t="shared" ref="G298:G308" si="99">D298/$D$308</f>
        <v>0.26349206349206339</v>
      </c>
      <c r="H298" s="169">
        <f t="shared" ref="H298:H308" si="100">E298/$E$308</f>
        <v>0.23809523809523825</v>
      </c>
      <c r="J298" s="170">
        <v>2</v>
      </c>
      <c r="K298" s="7" t="s">
        <v>172</v>
      </c>
      <c r="L298" s="168">
        <v>75.099999999999994</v>
      </c>
      <c r="M298" s="168">
        <v>70.7</v>
      </c>
      <c r="N298" s="169">
        <f t="shared" ref="N298:N308" si="101">L298/M298-1</f>
        <v>6.2234794908062163E-2</v>
      </c>
      <c r="O298" s="169">
        <f t="shared" ref="O298:O308" si="102">L298/$L$308</f>
        <v>0.2587870434183322</v>
      </c>
      <c r="P298" s="169">
        <f t="shared" ref="P298:P308" si="103">M298/$M$308</f>
        <v>0.27466977466977471</v>
      </c>
    </row>
    <row r="299" spans="2:16" ht="14" customHeight="1" x14ac:dyDescent="0.25">
      <c r="B299" s="170">
        <v>3</v>
      </c>
      <c r="C299" s="7" t="s">
        <v>25</v>
      </c>
      <c r="D299" s="168">
        <f t="shared" si="96"/>
        <v>2.5</v>
      </c>
      <c r="E299" s="168">
        <f t="shared" si="97"/>
        <v>3.0999999999999979</v>
      </c>
      <c r="F299" s="169">
        <f t="shared" si="98"/>
        <v>-0.19354838709677369</v>
      </c>
      <c r="G299" s="169">
        <f t="shared" si="99"/>
        <v>7.9365079365079361E-2</v>
      </c>
      <c r="H299" s="169">
        <f t="shared" si="100"/>
        <v>0.11355311355311355</v>
      </c>
      <c r="J299" s="170">
        <v>3</v>
      </c>
      <c r="K299" s="7" t="s">
        <v>25</v>
      </c>
      <c r="L299" s="168">
        <v>31</v>
      </c>
      <c r="M299" s="168">
        <v>28.2</v>
      </c>
      <c r="N299" s="169">
        <f t="shared" si="101"/>
        <v>9.9290780141843893E-2</v>
      </c>
      <c r="O299" s="169">
        <f t="shared" si="102"/>
        <v>0.10682288077188147</v>
      </c>
      <c r="P299" s="169">
        <f t="shared" si="103"/>
        <v>0.10955710955710957</v>
      </c>
    </row>
    <row r="300" spans="2:16" ht="14" customHeight="1" x14ac:dyDescent="0.25">
      <c r="B300" s="170">
        <v>4</v>
      </c>
      <c r="C300" s="7" t="s">
        <v>102</v>
      </c>
      <c r="D300" s="168">
        <f t="shared" si="96"/>
        <v>2.6999999999999993</v>
      </c>
      <c r="E300" s="168">
        <f t="shared" si="97"/>
        <v>3.7000000000000028</v>
      </c>
      <c r="F300" s="169">
        <f t="shared" si="98"/>
        <v>-0.27027027027027106</v>
      </c>
      <c r="G300" s="169">
        <f t="shared" si="99"/>
        <v>8.5714285714285687E-2</v>
      </c>
      <c r="H300" s="169">
        <f t="shared" si="100"/>
        <v>0.13553113553113572</v>
      </c>
      <c r="J300" s="170">
        <v>4</v>
      </c>
      <c r="K300" s="7" t="s">
        <v>102</v>
      </c>
      <c r="L300" s="168">
        <v>28.4</v>
      </c>
      <c r="M300" s="168">
        <v>36</v>
      </c>
      <c r="N300" s="169">
        <f t="shared" si="101"/>
        <v>-0.21111111111111114</v>
      </c>
      <c r="O300" s="169">
        <f t="shared" si="102"/>
        <v>9.7863542384562366E-2</v>
      </c>
      <c r="P300" s="169">
        <f t="shared" si="103"/>
        <v>0.13986013986013987</v>
      </c>
    </row>
    <row r="301" spans="2:16" ht="14" customHeight="1" x14ac:dyDescent="0.25">
      <c r="B301" s="170">
        <v>5</v>
      </c>
      <c r="C301" s="37" t="s">
        <v>115</v>
      </c>
      <c r="D301" s="168">
        <f t="shared" si="96"/>
        <v>2.3999999999999986</v>
      </c>
      <c r="E301" s="168">
        <f t="shared" si="97"/>
        <v>3</v>
      </c>
      <c r="F301" s="169">
        <f t="shared" si="98"/>
        <v>-0.20000000000000051</v>
      </c>
      <c r="G301" s="169">
        <f t="shared" si="99"/>
        <v>7.6190476190476142E-2</v>
      </c>
      <c r="H301" s="169">
        <f t="shared" si="100"/>
        <v>0.10989010989010996</v>
      </c>
      <c r="J301" s="170">
        <v>5</v>
      </c>
      <c r="K301" s="37" t="s">
        <v>115</v>
      </c>
      <c r="L301" s="168">
        <v>26.2</v>
      </c>
      <c r="M301" s="168">
        <v>25.5</v>
      </c>
      <c r="N301" s="169">
        <f t="shared" si="101"/>
        <v>2.7450980392156765E-2</v>
      </c>
      <c r="O301" s="169">
        <f t="shared" si="102"/>
        <v>9.0282563749138525E-2</v>
      </c>
      <c r="P301" s="169">
        <f t="shared" si="103"/>
        <v>9.9067599067599071E-2</v>
      </c>
    </row>
    <row r="302" spans="2:16" ht="14" customHeight="1" x14ac:dyDescent="0.25">
      <c r="B302" s="170">
        <v>6</v>
      </c>
      <c r="C302" s="170" t="s">
        <v>69</v>
      </c>
      <c r="D302" s="168">
        <f t="shared" si="96"/>
        <v>1.2999999999999989</v>
      </c>
      <c r="E302" s="168">
        <f t="shared" si="97"/>
        <v>0.70000000000000018</v>
      </c>
      <c r="F302" s="169">
        <f t="shared" si="98"/>
        <v>0.85714285714285521</v>
      </c>
      <c r="G302" s="169">
        <f t="shared" si="99"/>
        <v>4.1269841269841234E-2</v>
      </c>
      <c r="H302" s="169">
        <f t="shared" si="100"/>
        <v>2.5641025641025664E-2</v>
      </c>
      <c r="J302" s="170">
        <v>6</v>
      </c>
      <c r="K302" s="170" t="s">
        <v>69</v>
      </c>
      <c r="L302" s="168">
        <v>11.7</v>
      </c>
      <c r="M302" s="168">
        <v>4.8</v>
      </c>
      <c r="N302" s="169">
        <f t="shared" si="101"/>
        <v>1.4375</v>
      </c>
      <c r="O302" s="169">
        <f t="shared" si="102"/>
        <v>4.0317022742935908E-2</v>
      </c>
      <c r="P302" s="169">
        <f t="shared" si="103"/>
        <v>1.8648018648018648E-2</v>
      </c>
    </row>
    <row r="303" spans="2:16" ht="14" customHeight="1" x14ac:dyDescent="0.25">
      <c r="B303" s="170">
        <v>7</v>
      </c>
      <c r="C303" s="7" t="s">
        <v>100</v>
      </c>
      <c r="D303" s="168">
        <f t="shared" si="96"/>
        <v>0.70000000000000018</v>
      </c>
      <c r="E303" s="168">
        <f t="shared" si="97"/>
        <v>0.59999999999999964</v>
      </c>
      <c r="F303" s="169">
        <f t="shared" si="98"/>
        <v>0.16666666666666763</v>
      </c>
      <c r="G303" s="169">
        <f t="shared" si="99"/>
        <v>2.2222222222222227E-2</v>
      </c>
      <c r="H303" s="169">
        <f t="shared" si="100"/>
        <v>2.197802197802198E-2</v>
      </c>
      <c r="J303" s="170">
        <v>7</v>
      </c>
      <c r="K303" s="170" t="s">
        <v>46</v>
      </c>
      <c r="L303" s="178">
        <v>6.9</v>
      </c>
      <c r="M303" s="168">
        <v>4.5999999999999996</v>
      </c>
      <c r="N303" s="169">
        <f t="shared" si="101"/>
        <v>0.50000000000000022</v>
      </c>
      <c r="O303" s="169">
        <f t="shared" si="102"/>
        <v>2.3776705720192973E-2</v>
      </c>
      <c r="P303" s="169">
        <f t="shared" si="103"/>
        <v>1.7871017871017872E-2</v>
      </c>
    </row>
    <row r="304" spans="2:16" ht="14" customHeight="1" x14ac:dyDescent="0.25">
      <c r="B304" s="170">
        <v>8</v>
      </c>
      <c r="C304" s="170" t="s">
        <v>46</v>
      </c>
      <c r="D304" s="168">
        <f t="shared" si="96"/>
        <v>0.60000000000000053</v>
      </c>
      <c r="E304" s="168">
        <f t="shared" si="97"/>
        <v>0.19999999999999996</v>
      </c>
      <c r="F304" s="169">
        <f t="shared" si="98"/>
        <v>2.0000000000000036</v>
      </c>
      <c r="G304" s="169">
        <f t="shared" si="99"/>
        <v>1.9047619047619063E-2</v>
      </c>
      <c r="H304" s="169">
        <f t="shared" si="100"/>
        <v>7.3260073260073286E-3</v>
      </c>
      <c r="J304" s="170">
        <v>8</v>
      </c>
      <c r="K304" s="7" t="s">
        <v>100</v>
      </c>
      <c r="L304" s="168">
        <v>6.2</v>
      </c>
      <c r="M304" s="168">
        <v>1.3</v>
      </c>
      <c r="N304" s="169">
        <f t="shared" si="101"/>
        <v>3.7692307692307692</v>
      </c>
      <c r="O304" s="169">
        <f t="shared" si="102"/>
        <v>2.1364576154376293E-2</v>
      </c>
      <c r="P304" s="169">
        <f t="shared" si="103"/>
        <v>5.0505050505050509E-3</v>
      </c>
    </row>
    <row r="305" spans="2:16" ht="14" customHeight="1" x14ac:dyDescent="0.25">
      <c r="B305" s="170">
        <v>9</v>
      </c>
      <c r="C305" s="170" t="s">
        <v>705</v>
      </c>
      <c r="D305" s="168">
        <f t="shared" si="96"/>
        <v>1.1999999999999993</v>
      </c>
      <c r="E305" s="168">
        <f t="shared" si="97"/>
        <v>0</v>
      </c>
      <c r="F305" s="169" t="e">
        <f t="shared" si="98"/>
        <v>#DIV/0!</v>
      </c>
      <c r="G305" s="169">
        <f t="shared" si="99"/>
        <v>3.8095238095238071E-2</v>
      </c>
      <c r="H305" s="169">
        <f t="shared" si="100"/>
        <v>0</v>
      </c>
      <c r="J305" s="170">
        <v>9</v>
      </c>
      <c r="K305" s="170" t="s">
        <v>705</v>
      </c>
      <c r="L305" s="168">
        <v>6.1</v>
      </c>
      <c r="M305" s="168">
        <v>0</v>
      </c>
      <c r="N305" s="169"/>
      <c r="O305" s="169">
        <f t="shared" si="102"/>
        <v>2.101998621640248E-2</v>
      </c>
      <c r="P305" s="169">
        <f t="shared" si="103"/>
        <v>0</v>
      </c>
    </row>
    <row r="306" spans="2:16" ht="14" customHeight="1" x14ac:dyDescent="0.25">
      <c r="B306" s="170">
        <v>10</v>
      </c>
      <c r="C306" s="170" t="s">
        <v>357</v>
      </c>
      <c r="D306" s="168">
        <f t="shared" si="96"/>
        <v>0.60000000000000053</v>
      </c>
      <c r="E306" s="168">
        <f t="shared" si="97"/>
        <v>0.69999999999999973</v>
      </c>
      <c r="F306" s="169">
        <f t="shared" si="98"/>
        <v>-0.14285714285714179</v>
      </c>
      <c r="G306" s="169">
        <f t="shared" si="99"/>
        <v>1.9047619047619063E-2</v>
      </c>
      <c r="H306" s="169">
        <f t="shared" si="100"/>
        <v>2.5641025641025647E-2</v>
      </c>
      <c r="J306" s="170">
        <v>10</v>
      </c>
      <c r="K306" s="170" t="s">
        <v>357</v>
      </c>
      <c r="L306" s="168">
        <v>5.4</v>
      </c>
      <c r="M306" s="168">
        <v>3.8</v>
      </c>
      <c r="N306" s="169">
        <f t="shared" si="101"/>
        <v>0.42105263157894757</v>
      </c>
      <c r="O306" s="169">
        <f t="shared" si="102"/>
        <v>1.8607856650585806E-2</v>
      </c>
      <c r="P306" s="169">
        <f t="shared" si="103"/>
        <v>1.4763014763014764E-2</v>
      </c>
    </row>
    <row r="307" spans="2:16" ht="14" customHeight="1" x14ac:dyDescent="0.25">
      <c r="B307" s="340" t="s">
        <v>77</v>
      </c>
      <c r="C307" s="341"/>
      <c r="D307" s="168">
        <f t="shared" si="96"/>
        <v>2.7000000000000011</v>
      </c>
      <c r="E307" s="168">
        <f t="shared" si="97"/>
        <v>1.3000000000000007</v>
      </c>
      <c r="F307" s="169">
        <f t="shared" si="98"/>
        <v>1.0769230769230766</v>
      </c>
      <c r="G307" s="169">
        <f t="shared" si="99"/>
        <v>8.5714285714285743E-2</v>
      </c>
      <c r="H307" s="169">
        <f t="shared" si="100"/>
        <v>4.7619047619047672E-2</v>
      </c>
      <c r="J307" s="340" t="s">
        <v>77</v>
      </c>
      <c r="K307" s="341"/>
      <c r="L307" s="168">
        <v>16.600000000000001</v>
      </c>
      <c r="M307" s="168">
        <v>11.4</v>
      </c>
      <c r="N307" s="169">
        <f t="shared" si="101"/>
        <v>0.45614035087719307</v>
      </c>
      <c r="O307" s="169">
        <f t="shared" si="102"/>
        <v>5.7201929703652662E-2</v>
      </c>
      <c r="P307" s="169">
        <f t="shared" si="103"/>
        <v>4.4289044289044295E-2</v>
      </c>
    </row>
    <row r="308" spans="2:16" ht="14" customHeight="1" x14ac:dyDescent="0.25">
      <c r="B308" s="340" t="s">
        <v>78</v>
      </c>
      <c r="C308" s="341"/>
      <c r="D308" s="168">
        <f t="shared" si="96"/>
        <v>31.5</v>
      </c>
      <c r="E308" s="168">
        <f t="shared" si="97"/>
        <v>27.299999999999983</v>
      </c>
      <c r="F308" s="169">
        <f t="shared" si="98"/>
        <v>0.15384615384615463</v>
      </c>
      <c r="G308" s="169">
        <f t="shared" si="99"/>
        <v>1</v>
      </c>
      <c r="H308" s="169">
        <f t="shared" si="100"/>
        <v>1</v>
      </c>
      <c r="J308" s="340" t="s">
        <v>78</v>
      </c>
      <c r="K308" s="341"/>
      <c r="L308" s="168">
        <v>290.2</v>
      </c>
      <c r="M308" s="168">
        <v>257.39999999999998</v>
      </c>
      <c r="N308" s="169">
        <f t="shared" si="101"/>
        <v>0.12742812742812748</v>
      </c>
      <c r="O308" s="169">
        <f t="shared" si="102"/>
        <v>1</v>
      </c>
      <c r="P308" s="169">
        <f t="shared" si="103"/>
        <v>1</v>
      </c>
    </row>
    <row r="309" spans="2:16" ht="14" customHeight="1" x14ac:dyDescent="0.25">
      <c r="B309" s="10"/>
    </row>
    <row r="310" spans="2:16" ht="14" customHeight="1" x14ac:dyDescent="0.25">
      <c r="B310" s="10" t="s">
        <v>736</v>
      </c>
      <c r="J310" s="10" t="s">
        <v>737</v>
      </c>
    </row>
    <row r="311" spans="2:16" ht="14" customHeight="1" x14ac:dyDescent="0.25">
      <c r="B311" s="37" t="s">
        <v>96</v>
      </c>
      <c r="C311" s="7" t="s">
        <v>123</v>
      </c>
      <c r="D311" s="146">
        <v>45536</v>
      </c>
      <c r="E311" s="146">
        <v>45170</v>
      </c>
      <c r="F311" s="7" t="s">
        <v>34</v>
      </c>
      <c r="G311" s="7" t="s">
        <v>97</v>
      </c>
      <c r="H311" s="7" t="s">
        <v>124</v>
      </c>
      <c r="J311" s="37" t="s">
        <v>96</v>
      </c>
      <c r="K311" s="7" t="s">
        <v>123</v>
      </c>
      <c r="L311" s="146" t="s">
        <v>141</v>
      </c>
      <c r="M311" s="146" t="s">
        <v>142</v>
      </c>
      <c r="N311" s="7" t="s">
        <v>34</v>
      </c>
      <c r="O311" s="7" t="s">
        <v>97</v>
      </c>
      <c r="P311" s="7" t="s">
        <v>124</v>
      </c>
    </row>
    <row r="312" spans="2:16" ht="14" customHeight="1" x14ac:dyDescent="0.25">
      <c r="B312" s="170">
        <v>1</v>
      </c>
      <c r="C312" s="7" t="s">
        <v>172</v>
      </c>
      <c r="D312" s="168">
        <f t="shared" ref="D312:E319" si="104">L312-L327</f>
        <v>9.5999999999999943</v>
      </c>
      <c r="E312" s="168">
        <f t="shared" si="104"/>
        <v>8.6999999999999957</v>
      </c>
      <c r="F312" s="169">
        <f>D312/E312-1</f>
        <v>0.10344827586206895</v>
      </c>
      <c r="G312" s="169">
        <f>D312/$D$323</f>
        <v>0.26229508196721302</v>
      </c>
      <c r="H312" s="169">
        <f>E312/$E$323</f>
        <v>0.28903654485049823</v>
      </c>
      <c r="J312" s="170">
        <v>1</v>
      </c>
      <c r="K312" s="7" t="s">
        <v>98</v>
      </c>
      <c r="L312" s="168">
        <v>68.099999999999994</v>
      </c>
      <c r="M312" s="168">
        <v>63.4</v>
      </c>
      <c r="N312" s="169">
        <f>L312/M312-1</f>
        <v>7.4132492113564652E-2</v>
      </c>
      <c r="O312" s="169">
        <f>L312/$L$323</f>
        <v>0.26323927328952451</v>
      </c>
      <c r="P312" s="169">
        <f>M312/$M$323</f>
        <v>0.27553237722729246</v>
      </c>
    </row>
    <row r="313" spans="2:16" ht="14" customHeight="1" x14ac:dyDescent="0.25">
      <c r="B313" s="170">
        <v>2</v>
      </c>
      <c r="C313" s="7" t="s">
        <v>98</v>
      </c>
      <c r="D313" s="168">
        <f t="shared" si="104"/>
        <v>9.5</v>
      </c>
      <c r="E313" s="168">
        <f t="shared" si="104"/>
        <v>8.7000000000000028</v>
      </c>
      <c r="F313" s="169">
        <f t="shared" ref="F313:F323" si="105">D313/E313-1</f>
        <v>9.1954022988505413E-2</v>
      </c>
      <c r="G313" s="169">
        <f t="shared" ref="G313:G323" si="106">D313/$D$323</f>
        <v>0.25956284153005471</v>
      </c>
      <c r="H313" s="169">
        <f t="shared" ref="H313:H323" si="107">E313/$E$323</f>
        <v>0.28903654485049851</v>
      </c>
      <c r="J313" s="170">
        <v>2</v>
      </c>
      <c r="K313" s="7" t="s">
        <v>172</v>
      </c>
      <c r="L313" s="168">
        <v>66.8</v>
      </c>
      <c r="M313" s="168">
        <v>64.2</v>
      </c>
      <c r="N313" s="169">
        <f t="shared" ref="N313:N323" si="108">L313/M313-1</f>
        <v>4.049844236760114E-2</v>
      </c>
      <c r="O313" s="169">
        <f t="shared" ref="O313:O323" si="109">L313/$L$323</f>
        <v>0.25821414766138384</v>
      </c>
      <c r="P313" s="169">
        <f t="shared" ref="P313:P323" si="110">M313/$M$323</f>
        <v>0.27900912646675363</v>
      </c>
    </row>
    <row r="314" spans="2:16" ht="14" customHeight="1" x14ac:dyDescent="0.25">
      <c r="B314" s="170">
        <v>3</v>
      </c>
      <c r="C314" s="7" t="s">
        <v>25</v>
      </c>
      <c r="D314" s="168">
        <f t="shared" si="104"/>
        <v>4.1000000000000014</v>
      </c>
      <c r="E314" s="168">
        <f t="shared" si="104"/>
        <v>2.7000000000000028</v>
      </c>
      <c r="F314" s="169">
        <f t="shared" si="105"/>
        <v>0.51851851851851749</v>
      </c>
      <c r="G314" s="169">
        <f t="shared" si="106"/>
        <v>0.11202185792349732</v>
      </c>
      <c r="H314" s="169">
        <f t="shared" si="107"/>
        <v>8.970099667774098E-2</v>
      </c>
      <c r="J314" s="170">
        <v>3</v>
      </c>
      <c r="K314" s="7" t="s">
        <v>25</v>
      </c>
      <c r="L314" s="168">
        <v>28.5</v>
      </c>
      <c r="M314" s="168">
        <v>25.1</v>
      </c>
      <c r="N314" s="169">
        <f t="shared" si="108"/>
        <v>0.13545816733067717</v>
      </c>
      <c r="O314" s="169">
        <f t="shared" si="109"/>
        <v>0.11016621569385389</v>
      </c>
      <c r="P314" s="169">
        <f t="shared" si="110"/>
        <v>0.10908300738809214</v>
      </c>
    </row>
    <row r="315" spans="2:16" ht="14" customHeight="1" x14ac:dyDescent="0.25">
      <c r="B315" s="170">
        <v>4</v>
      </c>
      <c r="C315" s="7" t="s">
        <v>102</v>
      </c>
      <c r="D315" s="168">
        <f t="shared" si="104"/>
        <v>3.3000000000000007</v>
      </c>
      <c r="E315" s="168">
        <f t="shared" si="104"/>
        <v>3.3999999999999986</v>
      </c>
      <c r="F315" s="169">
        <f t="shared" si="105"/>
        <v>-2.9411764705881693E-2</v>
      </c>
      <c r="G315" s="169">
        <f t="shared" si="106"/>
        <v>9.0163934426229539E-2</v>
      </c>
      <c r="H315" s="169">
        <f t="shared" si="107"/>
        <v>0.11295681063122921</v>
      </c>
      <c r="J315" s="170">
        <v>4</v>
      </c>
      <c r="K315" s="7" t="s">
        <v>102</v>
      </c>
      <c r="L315" s="168">
        <v>25.7</v>
      </c>
      <c r="M315" s="168">
        <v>32.299999999999997</v>
      </c>
      <c r="N315" s="169">
        <f t="shared" si="108"/>
        <v>-0.20433436532507732</v>
      </c>
      <c r="O315" s="169">
        <f t="shared" si="109"/>
        <v>9.9342868187089289E-2</v>
      </c>
      <c r="P315" s="169">
        <f t="shared" si="110"/>
        <v>0.14037375054324205</v>
      </c>
    </row>
    <row r="316" spans="2:16" ht="14" customHeight="1" x14ac:dyDescent="0.25">
      <c r="B316" s="170">
        <v>5</v>
      </c>
      <c r="C316" s="37" t="s">
        <v>115</v>
      </c>
      <c r="D316" s="168">
        <f t="shared" si="104"/>
        <v>2.5</v>
      </c>
      <c r="E316" s="168">
        <f t="shared" si="104"/>
        <v>3.1000000000000014</v>
      </c>
      <c r="F316" s="169">
        <f t="shared" si="105"/>
        <v>-0.19354838709677458</v>
      </c>
      <c r="G316" s="169">
        <f t="shared" si="106"/>
        <v>6.8306010928961755E-2</v>
      </c>
      <c r="H316" s="169">
        <f t="shared" si="107"/>
        <v>0.10299003322259143</v>
      </c>
      <c r="J316" s="170">
        <v>5</v>
      </c>
      <c r="K316" s="37" t="s">
        <v>115</v>
      </c>
      <c r="L316" s="168">
        <v>23.8</v>
      </c>
      <c r="M316" s="168">
        <v>22.5</v>
      </c>
      <c r="N316" s="169">
        <f t="shared" si="108"/>
        <v>5.7777777777777706E-2</v>
      </c>
      <c r="O316" s="169">
        <f t="shared" si="109"/>
        <v>9.1998453807499034E-2</v>
      </c>
      <c r="P316" s="169">
        <f t="shared" si="110"/>
        <v>9.7783572359843543E-2</v>
      </c>
    </row>
    <row r="317" spans="2:16" ht="14" customHeight="1" x14ac:dyDescent="0.25">
      <c r="B317" s="170">
        <v>6</v>
      </c>
      <c r="C317" s="170" t="s">
        <v>69</v>
      </c>
      <c r="D317" s="168">
        <f t="shared" si="104"/>
        <v>1.5999999999999996</v>
      </c>
      <c r="E317" s="168">
        <f t="shared" si="104"/>
        <v>0.59999999999999964</v>
      </c>
      <c r="F317" s="169">
        <f t="shared" si="105"/>
        <v>1.6666666666666679</v>
      </c>
      <c r="G317" s="169">
        <f t="shared" si="106"/>
        <v>4.3715846994535519E-2</v>
      </c>
      <c r="H317" s="169">
        <f t="shared" si="107"/>
        <v>1.9933554817275739E-2</v>
      </c>
      <c r="J317" s="170">
        <v>6</v>
      </c>
      <c r="K317" s="170" t="s">
        <v>69</v>
      </c>
      <c r="L317" s="168">
        <v>10.4</v>
      </c>
      <c r="M317" s="168">
        <v>4.0999999999999996</v>
      </c>
      <c r="N317" s="169">
        <f t="shared" si="108"/>
        <v>1.536585365853659</v>
      </c>
      <c r="O317" s="169">
        <f t="shared" si="109"/>
        <v>4.0201005025125629E-2</v>
      </c>
      <c r="P317" s="169">
        <f t="shared" si="110"/>
        <v>1.7818339852238158E-2</v>
      </c>
    </row>
    <row r="318" spans="2:16" ht="14" customHeight="1" x14ac:dyDescent="0.25">
      <c r="B318" s="170">
        <v>7</v>
      </c>
      <c r="C318" s="7" t="s">
        <v>100</v>
      </c>
      <c r="D318" s="168">
        <f t="shared" si="104"/>
        <v>0.79999999999999982</v>
      </c>
      <c r="E318" s="168">
        <f t="shared" si="104"/>
        <v>0.5</v>
      </c>
      <c r="F318" s="169">
        <f t="shared" si="105"/>
        <v>0.59999999999999964</v>
      </c>
      <c r="G318" s="169">
        <f t="shared" si="106"/>
        <v>2.185792349726776E-2</v>
      </c>
      <c r="H318" s="169">
        <f t="shared" si="107"/>
        <v>1.6611295681063128E-2</v>
      </c>
      <c r="J318" s="170">
        <v>7</v>
      </c>
      <c r="K318" s="170" t="s">
        <v>46</v>
      </c>
      <c r="L318" s="178">
        <v>6.2</v>
      </c>
      <c r="M318" s="168">
        <v>4</v>
      </c>
      <c r="N318" s="169">
        <f t="shared" si="108"/>
        <v>0.55000000000000004</v>
      </c>
      <c r="O318" s="169">
        <f t="shared" si="109"/>
        <v>2.3965983764978743E-2</v>
      </c>
      <c r="P318" s="169">
        <f t="shared" si="110"/>
        <v>1.7383746197305521E-2</v>
      </c>
    </row>
    <row r="319" spans="2:16" ht="14" customHeight="1" x14ac:dyDescent="0.25">
      <c r="B319" s="170">
        <v>8</v>
      </c>
      <c r="C319" s="170" t="s">
        <v>46</v>
      </c>
      <c r="D319" s="168">
        <f t="shared" si="104"/>
        <v>0.79999999999999982</v>
      </c>
      <c r="E319" s="168">
        <f t="shared" si="104"/>
        <v>0.10000000000000009</v>
      </c>
      <c r="F319" s="169">
        <f t="shared" si="105"/>
        <v>6.9999999999999911</v>
      </c>
      <c r="G319" s="169">
        <f t="shared" si="106"/>
        <v>2.185792349726776E-2</v>
      </c>
      <c r="H319" s="169">
        <f t="shared" si="107"/>
        <v>3.3222591362126281E-3</v>
      </c>
      <c r="J319" s="170">
        <v>8</v>
      </c>
      <c r="K319" s="7" t="s">
        <v>100</v>
      </c>
      <c r="L319" s="168">
        <v>5.6</v>
      </c>
      <c r="M319" s="168">
        <v>1.1000000000000001</v>
      </c>
      <c r="N319" s="169">
        <f t="shared" si="108"/>
        <v>4.0909090909090899</v>
      </c>
      <c r="O319" s="169">
        <f t="shared" si="109"/>
        <v>2.1646695013529185E-2</v>
      </c>
      <c r="P319" s="169">
        <f t="shared" si="110"/>
        <v>4.7805302042590184E-3</v>
      </c>
    </row>
    <row r="320" spans="2:16" ht="14" customHeight="1" x14ac:dyDescent="0.25">
      <c r="B320" s="170">
        <v>9</v>
      </c>
      <c r="C320" s="170" t="s">
        <v>705</v>
      </c>
      <c r="D320" s="168">
        <f>L320-L336</f>
        <v>1.3000000000000003</v>
      </c>
      <c r="E320" s="168">
        <f>L320-L336</f>
        <v>1.3000000000000003</v>
      </c>
      <c r="F320" s="169">
        <f t="shared" si="105"/>
        <v>0</v>
      </c>
      <c r="G320" s="169">
        <f t="shared" si="106"/>
        <v>3.5519125683060121E-2</v>
      </c>
      <c r="H320" s="169">
        <f t="shared" si="107"/>
        <v>4.3189368770764139E-2</v>
      </c>
      <c r="J320" s="170">
        <v>9</v>
      </c>
      <c r="K320" s="170" t="s">
        <v>705</v>
      </c>
      <c r="L320" s="168">
        <v>4.9000000000000004</v>
      </c>
      <c r="M320" s="168">
        <v>0</v>
      </c>
      <c r="N320" s="169"/>
      <c r="O320" s="169">
        <f t="shared" si="109"/>
        <v>1.8940858136838039E-2</v>
      </c>
      <c r="P320" s="169">
        <f t="shared" si="110"/>
        <v>0</v>
      </c>
    </row>
    <row r="321" spans="2:16" ht="14" customHeight="1" x14ac:dyDescent="0.25">
      <c r="B321" s="170">
        <v>10</v>
      </c>
      <c r="C321" s="170" t="s">
        <v>357</v>
      </c>
      <c r="D321" s="168">
        <f>L321-L335</f>
        <v>0.59999999999999964</v>
      </c>
      <c r="E321" s="168">
        <f>L321-L335</f>
        <v>0.59999999999999964</v>
      </c>
      <c r="F321" s="169">
        <f t="shared" si="105"/>
        <v>0</v>
      </c>
      <c r="G321" s="169">
        <f t="shared" si="106"/>
        <v>1.6393442622950814E-2</v>
      </c>
      <c r="H321" s="169">
        <f t="shared" si="107"/>
        <v>1.9933554817275739E-2</v>
      </c>
      <c r="J321" s="170">
        <v>10</v>
      </c>
      <c r="K321" s="170" t="s">
        <v>357</v>
      </c>
      <c r="L321" s="168">
        <v>4.8</v>
      </c>
      <c r="M321" s="168">
        <v>3.1</v>
      </c>
      <c r="N321" s="169">
        <f t="shared" si="108"/>
        <v>0.54838709677419351</v>
      </c>
      <c r="O321" s="169">
        <f t="shared" si="109"/>
        <v>1.8554310011596443E-2</v>
      </c>
      <c r="P321" s="169">
        <f t="shared" si="110"/>
        <v>1.3472403302911778E-2</v>
      </c>
    </row>
    <row r="322" spans="2:16" ht="14" customHeight="1" x14ac:dyDescent="0.25">
      <c r="B322" s="340" t="s">
        <v>77</v>
      </c>
      <c r="C322" s="341"/>
      <c r="D322" s="168">
        <f>L322-L337</f>
        <v>2.4000000000000004</v>
      </c>
      <c r="E322" s="168">
        <f>M322-M337</f>
        <v>1.2999999999999989</v>
      </c>
      <c r="F322" s="169">
        <f t="shared" si="105"/>
        <v>0.84615384615384803</v>
      </c>
      <c r="G322" s="169">
        <f t="shared" si="106"/>
        <v>6.5573770491803296E-2</v>
      </c>
      <c r="H322" s="169">
        <f t="shared" si="107"/>
        <v>4.318936877076409E-2</v>
      </c>
      <c r="J322" s="340" t="s">
        <v>77</v>
      </c>
      <c r="K322" s="341"/>
      <c r="L322" s="168">
        <v>13.9</v>
      </c>
      <c r="M322" s="168">
        <v>10.1</v>
      </c>
      <c r="N322" s="169">
        <f t="shared" si="108"/>
        <v>0.37623762376237635</v>
      </c>
      <c r="O322" s="169">
        <f t="shared" si="109"/>
        <v>5.3730189408581375E-2</v>
      </c>
      <c r="P322" s="169">
        <f t="shared" si="110"/>
        <v>4.3893959148196438E-2</v>
      </c>
    </row>
    <row r="323" spans="2:16" ht="14" customHeight="1" x14ac:dyDescent="0.25">
      <c r="B323" s="340" t="s">
        <v>78</v>
      </c>
      <c r="C323" s="341"/>
      <c r="D323" s="168">
        <f>L323-L338</f>
        <v>36.599999999999994</v>
      </c>
      <c r="E323" s="168">
        <f>M323-M338</f>
        <v>30.099999999999994</v>
      </c>
      <c r="F323" s="169">
        <f t="shared" si="105"/>
        <v>0.21594684385382057</v>
      </c>
      <c r="G323" s="169">
        <f t="shared" si="106"/>
        <v>1</v>
      </c>
      <c r="H323" s="169">
        <f t="shared" si="107"/>
        <v>1</v>
      </c>
      <c r="J323" s="340" t="s">
        <v>78</v>
      </c>
      <c r="K323" s="341"/>
      <c r="L323" s="168">
        <v>258.7</v>
      </c>
      <c r="M323" s="168">
        <v>230.1</v>
      </c>
      <c r="N323" s="169">
        <f t="shared" si="108"/>
        <v>0.12429378531073443</v>
      </c>
      <c r="O323" s="169">
        <f t="shared" si="109"/>
        <v>1</v>
      </c>
      <c r="P323" s="169">
        <f t="shared" si="110"/>
        <v>1</v>
      </c>
    </row>
    <row r="324" spans="2:16" ht="14" customHeight="1" x14ac:dyDescent="0.25">
      <c r="B324" s="10"/>
    </row>
    <row r="325" spans="2:16" ht="14" customHeight="1" x14ac:dyDescent="0.25">
      <c r="B325" s="10" t="s">
        <v>738</v>
      </c>
      <c r="J325" s="10" t="s">
        <v>739</v>
      </c>
    </row>
    <row r="326" spans="2:16" ht="14" customHeight="1" x14ac:dyDescent="0.25">
      <c r="B326" s="37" t="s">
        <v>96</v>
      </c>
      <c r="C326" s="7" t="s">
        <v>123</v>
      </c>
      <c r="D326" s="146">
        <v>45505</v>
      </c>
      <c r="E326" s="146">
        <v>45139</v>
      </c>
      <c r="F326" s="7" t="s">
        <v>34</v>
      </c>
      <c r="G326" s="7" t="s">
        <v>97</v>
      </c>
      <c r="H326" s="7" t="s">
        <v>124</v>
      </c>
      <c r="J326" s="37" t="s">
        <v>96</v>
      </c>
      <c r="K326" s="7" t="s">
        <v>123</v>
      </c>
      <c r="L326" s="146" t="s">
        <v>145</v>
      </c>
      <c r="M326" s="146" t="s">
        <v>146</v>
      </c>
      <c r="N326" s="7" t="s">
        <v>34</v>
      </c>
      <c r="O326" s="7" t="s">
        <v>97</v>
      </c>
      <c r="P326" s="7" t="s">
        <v>124</v>
      </c>
    </row>
    <row r="327" spans="2:16" ht="14" customHeight="1" x14ac:dyDescent="0.25">
      <c r="B327" s="170">
        <v>1</v>
      </c>
      <c r="C327" s="7" t="s">
        <v>172</v>
      </c>
      <c r="D327" s="168">
        <f>L328-L343</f>
        <v>6.8999999999999986</v>
      </c>
      <c r="E327" s="168">
        <f>M328-M343</f>
        <v>8.2999999999999972</v>
      </c>
      <c r="F327" s="169">
        <f>D327/E327-1</f>
        <v>-0.1686746987951806</v>
      </c>
      <c r="G327" s="169">
        <f>D327/$D$338</f>
        <v>0.23549488054607517</v>
      </c>
      <c r="H327" s="169">
        <f>E327/$E$338</f>
        <v>0.28819444444444425</v>
      </c>
      <c r="J327" s="170">
        <v>1</v>
      </c>
      <c r="K327" s="7" t="s">
        <v>98</v>
      </c>
      <c r="L327" s="168">
        <v>58.5</v>
      </c>
      <c r="M327" s="168">
        <v>54.7</v>
      </c>
      <c r="N327" s="169">
        <f>L327/M327-1</f>
        <v>6.9469835466179131E-2</v>
      </c>
      <c r="O327" s="169">
        <f>L327/$L$338</f>
        <v>0.26339486717694732</v>
      </c>
      <c r="P327" s="169">
        <f>M327/$M$338</f>
        <v>0.27350000000000002</v>
      </c>
    </row>
    <row r="328" spans="2:16" ht="14" customHeight="1" x14ac:dyDescent="0.25">
      <c r="B328" s="170">
        <v>2</v>
      </c>
      <c r="C328" s="7" t="s">
        <v>98</v>
      </c>
      <c r="D328" s="168">
        <f>L327-L342</f>
        <v>6.6000000000000014</v>
      </c>
      <c r="E328" s="168">
        <f>M327-M342</f>
        <v>8</v>
      </c>
      <c r="F328" s="169">
        <f t="shared" ref="F328:F338" si="111">D328/E328-1</f>
        <v>-0.17499999999999982</v>
      </c>
      <c r="G328" s="169">
        <f t="shared" ref="G328:G337" si="112">D328/$D$338</f>
        <v>0.22525597269624592</v>
      </c>
      <c r="H328" s="169">
        <f t="shared" ref="H328:H338" si="113">E328/$E$338</f>
        <v>0.27777777777777768</v>
      </c>
      <c r="J328" s="170">
        <v>2</v>
      </c>
      <c r="K328" s="7" t="s">
        <v>172</v>
      </c>
      <c r="L328" s="168">
        <v>57.3</v>
      </c>
      <c r="M328" s="168">
        <v>55.5</v>
      </c>
      <c r="N328" s="169">
        <f t="shared" ref="N328:N338" si="114">L328/M328-1</f>
        <v>3.2432432432432323E-2</v>
      </c>
      <c r="O328" s="169">
        <f t="shared" ref="O328:O338" si="115">L328/$L$338</f>
        <v>0.25799189554254842</v>
      </c>
      <c r="P328" s="169">
        <f t="shared" ref="P328:P338" si="116">M328/$M$338</f>
        <v>0.27750000000000002</v>
      </c>
    </row>
    <row r="329" spans="2:16" ht="14" customHeight="1" x14ac:dyDescent="0.25">
      <c r="B329" s="170">
        <v>3</v>
      </c>
      <c r="C329" s="7" t="s">
        <v>25</v>
      </c>
      <c r="D329" s="168">
        <f>L329-L344</f>
        <v>3.8999999999999986</v>
      </c>
      <c r="E329" s="168">
        <f>M329-M344</f>
        <v>2.8999999999999986</v>
      </c>
      <c r="F329" s="169">
        <f t="shared" si="111"/>
        <v>0.3448275862068968</v>
      </c>
      <c r="G329" s="169">
        <f t="shared" si="112"/>
        <v>0.13310580204778161</v>
      </c>
      <c r="H329" s="169">
        <f t="shared" si="113"/>
        <v>0.10069444444444435</v>
      </c>
      <c r="J329" s="170">
        <v>3</v>
      </c>
      <c r="K329" s="7" t="s">
        <v>25</v>
      </c>
      <c r="L329" s="168">
        <v>24.4</v>
      </c>
      <c r="M329" s="168">
        <v>22.4</v>
      </c>
      <c r="N329" s="169">
        <f t="shared" si="114"/>
        <v>8.9285714285714191E-2</v>
      </c>
      <c r="O329" s="169">
        <f t="shared" si="115"/>
        <v>0.10986042323277802</v>
      </c>
      <c r="P329" s="169">
        <f t="shared" si="116"/>
        <v>0.11199999999999999</v>
      </c>
    </row>
    <row r="330" spans="2:16" ht="14" customHeight="1" x14ac:dyDescent="0.25">
      <c r="B330" s="170">
        <v>4</v>
      </c>
      <c r="C330" s="7" t="s">
        <v>102</v>
      </c>
      <c r="D330" s="168">
        <f>L330-L346</f>
        <v>3.5999999999999979</v>
      </c>
      <c r="E330" s="168">
        <f>M330-M346</f>
        <v>3.6999999999999993</v>
      </c>
      <c r="F330" s="169">
        <f t="shared" si="111"/>
        <v>-2.7027027027027417E-2</v>
      </c>
      <c r="G330" s="169">
        <f t="shared" si="112"/>
        <v>0.12286689419795221</v>
      </c>
      <c r="H330" s="169">
        <f t="shared" si="113"/>
        <v>0.12847222222222215</v>
      </c>
      <c r="J330" s="170">
        <v>4</v>
      </c>
      <c r="K330" s="7" t="s">
        <v>102</v>
      </c>
      <c r="L330" s="168">
        <v>22.4</v>
      </c>
      <c r="M330" s="168">
        <v>28.9</v>
      </c>
      <c r="N330" s="169">
        <f t="shared" si="114"/>
        <v>-0.22491349480968859</v>
      </c>
      <c r="O330" s="169">
        <f t="shared" si="115"/>
        <v>0.10085547050877983</v>
      </c>
      <c r="P330" s="169">
        <f t="shared" si="116"/>
        <v>0.14449999999999999</v>
      </c>
    </row>
    <row r="331" spans="2:16" ht="14" customHeight="1" x14ac:dyDescent="0.25">
      <c r="B331" s="170">
        <v>5</v>
      </c>
      <c r="C331" s="37" t="s">
        <v>115</v>
      </c>
      <c r="D331" s="168">
        <f>L331-L345</f>
        <v>2.5</v>
      </c>
      <c r="E331" s="168">
        <f>M331-M345</f>
        <v>2.8999999999999986</v>
      </c>
      <c r="F331" s="169">
        <f t="shared" si="111"/>
        <v>-0.13793103448275823</v>
      </c>
      <c r="G331" s="169">
        <f t="shared" si="112"/>
        <v>8.5324232081911311E-2</v>
      </c>
      <c r="H331" s="169">
        <f t="shared" si="113"/>
        <v>0.10069444444444435</v>
      </c>
      <c r="J331" s="170">
        <v>5</v>
      </c>
      <c r="K331" s="37" t="s">
        <v>115</v>
      </c>
      <c r="L331" s="168">
        <v>21.3</v>
      </c>
      <c r="M331" s="168">
        <v>19.399999999999999</v>
      </c>
      <c r="N331" s="169">
        <f t="shared" si="114"/>
        <v>9.7938144329897003E-2</v>
      </c>
      <c r="O331" s="169">
        <f t="shared" si="115"/>
        <v>9.5902746510580825E-2</v>
      </c>
      <c r="P331" s="169">
        <f t="shared" si="116"/>
        <v>9.6999999999999989E-2</v>
      </c>
    </row>
    <row r="332" spans="2:16" ht="14" customHeight="1" x14ac:dyDescent="0.25">
      <c r="B332" s="170">
        <v>6</v>
      </c>
      <c r="C332" s="170" t="s">
        <v>69</v>
      </c>
      <c r="D332" s="168">
        <f>L332-L347</f>
        <v>1.3000000000000007</v>
      </c>
      <c r="E332" s="168">
        <f>M332-M347</f>
        <v>0.60000000000000009</v>
      </c>
      <c r="F332" s="169">
        <f t="shared" si="111"/>
        <v>1.1666666666666674</v>
      </c>
      <c r="G332" s="169">
        <f t="shared" si="112"/>
        <v>4.4368600682593906E-2</v>
      </c>
      <c r="H332" s="169">
        <f t="shared" si="113"/>
        <v>2.0833333333333329E-2</v>
      </c>
      <c r="J332" s="170">
        <v>6</v>
      </c>
      <c r="K332" s="170" t="s">
        <v>69</v>
      </c>
      <c r="L332" s="168">
        <v>8.8000000000000007</v>
      </c>
      <c r="M332" s="168">
        <v>3.5</v>
      </c>
      <c r="N332" s="169">
        <f t="shared" si="114"/>
        <v>1.5142857142857147</v>
      </c>
      <c r="O332" s="169">
        <f t="shared" si="115"/>
        <v>3.9621791985592077E-2</v>
      </c>
      <c r="P332" s="169">
        <f t="shared" si="116"/>
        <v>1.7500000000000002E-2</v>
      </c>
    </row>
    <row r="333" spans="2:16" ht="14" customHeight="1" x14ac:dyDescent="0.25">
      <c r="B333" s="170">
        <v>7</v>
      </c>
      <c r="C333" s="7" t="s">
        <v>100</v>
      </c>
      <c r="D333" s="168">
        <f>L334-L349</f>
        <v>0.70000000000000018</v>
      </c>
      <c r="E333" s="168">
        <f>M334-M349</f>
        <v>0.30000000000000004</v>
      </c>
      <c r="F333" s="169">
        <f t="shared" si="111"/>
        <v>1.3333333333333335</v>
      </c>
      <c r="G333" s="169">
        <f t="shared" si="112"/>
        <v>2.3890784982935172E-2</v>
      </c>
      <c r="H333" s="169">
        <f t="shared" si="113"/>
        <v>1.0416666666666664E-2</v>
      </c>
      <c r="J333" s="170">
        <v>7</v>
      </c>
      <c r="K333" s="170" t="s">
        <v>46</v>
      </c>
      <c r="L333" s="178">
        <v>5.4</v>
      </c>
      <c r="M333" s="168">
        <v>3.5</v>
      </c>
      <c r="N333" s="169">
        <f t="shared" si="114"/>
        <v>0.54285714285714293</v>
      </c>
      <c r="O333" s="169">
        <f t="shared" si="115"/>
        <v>2.4313372354795141E-2</v>
      </c>
      <c r="P333" s="169">
        <f t="shared" si="116"/>
        <v>1.7500000000000002E-2</v>
      </c>
    </row>
    <row r="334" spans="2:16" ht="14" customHeight="1" x14ac:dyDescent="0.25">
      <c r="B334" s="170">
        <v>8</v>
      </c>
      <c r="C334" s="170" t="s">
        <v>46</v>
      </c>
      <c r="D334" s="168">
        <f>L333-L348</f>
        <v>0.70000000000000018</v>
      </c>
      <c r="E334" s="168">
        <f>M333-M348</f>
        <v>0.60000000000000009</v>
      </c>
      <c r="F334" s="169">
        <f t="shared" si="111"/>
        <v>0.16666666666666674</v>
      </c>
      <c r="G334" s="169">
        <f t="shared" si="112"/>
        <v>2.3890784982935172E-2</v>
      </c>
      <c r="H334" s="169">
        <f t="shared" si="113"/>
        <v>2.0833333333333329E-2</v>
      </c>
      <c r="J334" s="170">
        <v>8</v>
      </c>
      <c r="K334" s="7" t="s">
        <v>100</v>
      </c>
      <c r="L334" s="168">
        <v>4.8</v>
      </c>
      <c r="M334" s="168">
        <v>1</v>
      </c>
      <c r="N334" s="169">
        <f t="shared" si="114"/>
        <v>3.8</v>
      </c>
      <c r="O334" s="169">
        <f t="shared" si="115"/>
        <v>2.1611886537595677E-2</v>
      </c>
      <c r="P334" s="169">
        <f t="shared" si="116"/>
        <v>5.0000000000000001E-3</v>
      </c>
    </row>
    <row r="335" spans="2:16" ht="14" customHeight="1" x14ac:dyDescent="0.25">
      <c r="B335" s="170">
        <v>9</v>
      </c>
      <c r="C335" s="170" t="s">
        <v>357</v>
      </c>
      <c r="D335" s="168">
        <f>L335-L350</f>
        <v>0.60000000000000009</v>
      </c>
      <c r="E335" s="168">
        <f>M335-M350</f>
        <v>0.60000000000000009</v>
      </c>
      <c r="F335" s="169">
        <f t="shared" si="111"/>
        <v>0</v>
      </c>
      <c r="G335" s="169">
        <f t="shared" si="112"/>
        <v>2.047781569965872E-2</v>
      </c>
      <c r="H335" s="169">
        <f t="shared" si="113"/>
        <v>2.0833333333333329E-2</v>
      </c>
      <c r="J335" s="170">
        <v>9</v>
      </c>
      <c r="K335" s="170" t="s">
        <v>357</v>
      </c>
      <c r="L335" s="168">
        <v>4.2</v>
      </c>
      <c r="M335" s="168">
        <v>2.5</v>
      </c>
      <c r="N335" s="169">
        <f t="shared" si="114"/>
        <v>0.68000000000000016</v>
      </c>
      <c r="O335" s="169">
        <f t="shared" si="115"/>
        <v>1.8910400720396219E-2</v>
      </c>
      <c r="P335" s="169">
        <f t="shared" si="116"/>
        <v>1.2500000000000001E-2</v>
      </c>
    </row>
    <row r="336" spans="2:16" ht="14" customHeight="1" x14ac:dyDescent="0.25">
      <c r="B336" s="170">
        <v>10</v>
      </c>
      <c r="C336" s="170" t="s">
        <v>705</v>
      </c>
      <c r="D336" s="168"/>
      <c r="E336" s="168"/>
      <c r="F336" s="169"/>
      <c r="G336" s="169">
        <f t="shared" si="112"/>
        <v>0</v>
      </c>
      <c r="H336" s="169">
        <f t="shared" si="113"/>
        <v>0</v>
      </c>
      <c r="J336" s="170">
        <v>10</v>
      </c>
      <c r="K336" s="170" t="s">
        <v>705</v>
      </c>
      <c r="L336" s="168">
        <v>3.6</v>
      </c>
      <c r="M336" s="168">
        <v>0</v>
      </c>
      <c r="N336" s="169" t="e">
        <f t="shared" si="114"/>
        <v>#DIV/0!</v>
      </c>
      <c r="O336" s="169">
        <f t="shared" si="115"/>
        <v>1.6208914903196758E-2</v>
      </c>
      <c r="P336" s="169">
        <f t="shared" si="116"/>
        <v>0</v>
      </c>
    </row>
    <row r="337" spans="2:16" ht="14" customHeight="1" x14ac:dyDescent="0.25">
      <c r="B337" s="340" t="s">
        <v>77</v>
      </c>
      <c r="C337" s="341"/>
      <c r="D337" s="168"/>
      <c r="E337" s="168"/>
      <c r="F337" s="169"/>
      <c r="G337" s="169">
        <f t="shared" si="112"/>
        <v>0</v>
      </c>
      <c r="H337" s="169">
        <f t="shared" si="113"/>
        <v>0</v>
      </c>
      <c r="J337" s="340" t="s">
        <v>77</v>
      </c>
      <c r="K337" s="341"/>
      <c r="L337" s="168">
        <v>11.5</v>
      </c>
      <c r="M337" s="168">
        <v>8.8000000000000007</v>
      </c>
      <c r="N337" s="169">
        <f t="shared" si="114"/>
        <v>0.30681818181818166</v>
      </c>
      <c r="O337" s="169">
        <f t="shared" si="115"/>
        <v>5.1778478162989645E-2</v>
      </c>
      <c r="P337" s="169">
        <f t="shared" si="116"/>
        <v>4.4000000000000004E-2</v>
      </c>
    </row>
    <row r="338" spans="2:16" ht="14" customHeight="1" x14ac:dyDescent="0.25">
      <c r="B338" s="340" t="s">
        <v>78</v>
      </c>
      <c r="C338" s="341"/>
      <c r="D338" s="168">
        <f>L338-L353</f>
        <v>29.299999999999983</v>
      </c>
      <c r="E338" s="168">
        <f>M338-M353</f>
        <v>28.800000000000011</v>
      </c>
      <c r="F338" s="169">
        <f t="shared" si="111"/>
        <v>1.736111111111005E-2</v>
      </c>
      <c r="G338" s="169"/>
      <c r="H338" s="169">
        <f t="shared" si="113"/>
        <v>1</v>
      </c>
      <c r="J338" s="340" t="s">
        <v>78</v>
      </c>
      <c r="K338" s="341"/>
      <c r="L338" s="168">
        <v>222.1</v>
      </c>
      <c r="M338" s="168">
        <v>200</v>
      </c>
      <c r="N338" s="169">
        <f t="shared" si="114"/>
        <v>0.11050000000000004</v>
      </c>
      <c r="O338" s="169">
        <f t="shared" si="115"/>
        <v>1</v>
      </c>
      <c r="P338" s="169">
        <f t="shared" si="116"/>
        <v>1</v>
      </c>
    </row>
    <row r="339" spans="2:16" ht="14" customHeight="1" x14ac:dyDescent="0.25">
      <c r="B339" s="10"/>
    </row>
    <row r="340" spans="2:16" ht="14" customHeight="1" x14ac:dyDescent="0.25">
      <c r="B340" s="10" t="s">
        <v>740</v>
      </c>
      <c r="J340" s="10" t="s">
        <v>741</v>
      </c>
    </row>
    <row r="341" spans="2:16" ht="14" customHeight="1" x14ac:dyDescent="0.25">
      <c r="B341" s="37" t="s">
        <v>96</v>
      </c>
      <c r="C341" s="7" t="s">
        <v>123</v>
      </c>
      <c r="D341" s="146">
        <v>45474</v>
      </c>
      <c r="E341" s="146">
        <v>45108</v>
      </c>
      <c r="F341" s="7" t="s">
        <v>34</v>
      </c>
      <c r="G341" s="7" t="s">
        <v>97</v>
      </c>
      <c r="H341" s="7" t="s">
        <v>124</v>
      </c>
      <c r="J341" s="37" t="s">
        <v>96</v>
      </c>
      <c r="K341" s="7" t="s">
        <v>123</v>
      </c>
      <c r="L341" s="146" t="s">
        <v>149</v>
      </c>
      <c r="M341" s="146" t="s">
        <v>150</v>
      </c>
      <c r="N341" s="7" t="s">
        <v>34</v>
      </c>
      <c r="O341" s="7" t="s">
        <v>97</v>
      </c>
      <c r="P341" s="7" t="s">
        <v>124</v>
      </c>
    </row>
    <row r="342" spans="2:16" ht="14" customHeight="1" x14ac:dyDescent="0.25">
      <c r="B342" s="170">
        <v>1</v>
      </c>
      <c r="C342" s="7" t="s">
        <v>98</v>
      </c>
      <c r="D342" s="168">
        <f t="shared" ref="D342:E344" si="117">L342-L357</f>
        <v>7</v>
      </c>
      <c r="E342" s="168">
        <f t="shared" si="117"/>
        <v>6.6000000000000014</v>
      </c>
      <c r="F342" s="169">
        <f>D342/E342-1</f>
        <v>6.060606060606033E-2</v>
      </c>
      <c r="G342" s="169">
        <f>D342/$D$353</f>
        <v>0.25454545454545452</v>
      </c>
      <c r="H342" s="169">
        <f>E342/$E$353</f>
        <v>0.26400000000000007</v>
      </c>
      <c r="J342" s="170">
        <v>1</v>
      </c>
      <c r="K342" s="7" t="s">
        <v>98</v>
      </c>
      <c r="L342" s="168">
        <v>51.9</v>
      </c>
      <c r="M342" s="168">
        <v>46.7</v>
      </c>
      <c r="N342" s="169">
        <f>L342/M342-1</f>
        <v>0.11134903640256955</v>
      </c>
      <c r="O342" s="169">
        <f>L342/$L$353</f>
        <v>0.26919087136929459</v>
      </c>
      <c r="P342" s="169">
        <f>M342/$M$353</f>
        <v>0.27278037383177572</v>
      </c>
    </row>
    <row r="343" spans="2:16" ht="14" customHeight="1" x14ac:dyDescent="0.25">
      <c r="B343" s="170">
        <v>2</v>
      </c>
      <c r="C343" s="7" t="s">
        <v>172</v>
      </c>
      <c r="D343" s="168">
        <f t="shared" si="117"/>
        <v>6.6000000000000014</v>
      </c>
      <c r="E343" s="168">
        <f t="shared" si="117"/>
        <v>6.3000000000000043</v>
      </c>
      <c r="F343" s="169">
        <f t="shared" ref="F343:F353" si="118">D343/E343-1</f>
        <v>4.7619047619047228E-2</v>
      </c>
      <c r="G343" s="169">
        <f t="shared" ref="G343:G353" si="119">D343/$D$353</f>
        <v>0.24000000000000005</v>
      </c>
      <c r="H343" s="169">
        <f t="shared" ref="H343:H353" si="120">E343/$E$353</f>
        <v>0.25200000000000017</v>
      </c>
      <c r="J343" s="170">
        <v>2</v>
      </c>
      <c r="K343" s="7" t="s">
        <v>172</v>
      </c>
      <c r="L343" s="168">
        <v>50.4</v>
      </c>
      <c r="M343" s="168">
        <v>47.2</v>
      </c>
      <c r="N343" s="169">
        <f t="shared" ref="N343:N353" si="121">L343/M343-1</f>
        <v>6.7796610169491345E-2</v>
      </c>
      <c r="O343" s="169">
        <f t="shared" ref="O343:O353" si="122">L343/$L$353</f>
        <v>0.2614107883817427</v>
      </c>
      <c r="P343" s="169">
        <f t="shared" ref="P343:P353" si="123">M343/$M$353</f>
        <v>0.27570093457943928</v>
      </c>
    </row>
    <row r="344" spans="2:16" ht="14" customHeight="1" x14ac:dyDescent="0.25">
      <c r="B344" s="170">
        <v>3</v>
      </c>
      <c r="C344" s="7" t="s">
        <v>25</v>
      </c>
      <c r="D344" s="168">
        <f t="shared" si="117"/>
        <v>3.1999999999999993</v>
      </c>
      <c r="E344" s="168">
        <f t="shared" si="117"/>
        <v>3.1999999999999993</v>
      </c>
      <c r="F344" s="169">
        <f t="shared" si="118"/>
        <v>0</v>
      </c>
      <c r="G344" s="169">
        <f t="shared" si="119"/>
        <v>0.11636363636363634</v>
      </c>
      <c r="H344" s="169">
        <f t="shared" si="120"/>
        <v>0.12799999999999997</v>
      </c>
      <c r="J344" s="170">
        <v>3</v>
      </c>
      <c r="K344" s="7" t="s">
        <v>25</v>
      </c>
      <c r="L344" s="168">
        <v>20.5</v>
      </c>
      <c r="M344" s="168">
        <v>19.5</v>
      </c>
      <c r="N344" s="169">
        <f t="shared" si="121"/>
        <v>5.1282051282051322E-2</v>
      </c>
      <c r="O344" s="169">
        <f t="shared" si="122"/>
        <v>0.10632780082987552</v>
      </c>
      <c r="P344" s="169">
        <f t="shared" si="123"/>
        <v>0.11390186915887851</v>
      </c>
    </row>
    <row r="345" spans="2:16" ht="14" customHeight="1" x14ac:dyDescent="0.25">
      <c r="B345" s="170">
        <v>4</v>
      </c>
      <c r="C345" s="7" t="s">
        <v>102</v>
      </c>
      <c r="D345" s="168">
        <f>L346-L361</f>
        <v>2.6000000000000014</v>
      </c>
      <c r="E345" s="168">
        <f>M346-M361</f>
        <v>3.5999999999999979</v>
      </c>
      <c r="F345" s="169">
        <f t="shared" si="118"/>
        <v>-0.2777777777777769</v>
      </c>
      <c r="G345" s="169">
        <f t="shared" si="119"/>
        <v>9.4545454545454599E-2</v>
      </c>
      <c r="H345" s="169">
        <f t="shared" si="120"/>
        <v>0.14399999999999991</v>
      </c>
      <c r="J345" s="170">
        <v>4</v>
      </c>
      <c r="K345" s="37" t="s">
        <v>115</v>
      </c>
      <c r="L345" s="168">
        <v>18.8</v>
      </c>
      <c r="M345" s="168">
        <v>16.5</v>
      </c>
      <c r="N345" s="169">
        <f t="shared" si="121"/>
        <v>0.1393939393939394</v>
      </c>
      <c r="O345" s="169">
        <f t="shared" si="122"/>
        <v>9.7510373443983403E-2</v>
      </c>
      <c r="P345" s="169">
        <f t="shared" si="123"/>
        <v>9.63785046728972E-2</v>
      </c>
    </row>
    <row r="346" spans="2:16" ht="14" customHeight="1" x14ac:dyDescent="0.25">
      <c r="B346" s="170">
        <v>5</v>
      </c>
      <c r="C346" s="37" t="s">
        <v>115</v>
      </c>
      <c r="D346" s="168">
        <f>L345-L360</f>
        <v>2.5</v>
      </c>
      <c r="E346" s="168">
        <f>M345-M360</f>
        <v>2.5999999999999996</v>
      </c>
      <c r="F346" s="169">
        <f t="shared" si="118"/>
        <v>-3.8461538461538325E-2</v>
      </c>
      <c r="G346" s="169">
        <f t="shared" si="119"/>
        <v>9.0909090909090912E-2</v>
      </c>
      <c r="H346" s="169">
        <f t="shared" si="120"/>
        <v>0.10399999999999998</v>
      </c>
      <c r="J346" s="170">
        <v>5</v>
      </c>
      <c r="K346" s="7" t="s">
        <v>102</v>
      </c>
      <c r="L346" s="168">
        <v>18.8</v>
      </c>
      <c r="M346" s="168">
        <v>25.2</v>
      </c>
      <c r="N346" s="169">
        <f t="shared" si="121"/>
        <v>-0.25396825396825395</v>
      </c>
      <c r="O346" s="169">
        <f t="shared" si="122"/>
        <v>9.7510373443983403E-2</v>
      </c>
      <c r="P346" s="169">
        <f t="shared" si="123"/>
        <v>0.14719626168224301</v>
      </c>
    </row>
    <row r="347" spans="2:16" ht="14" customHeight="1" x14ac:dyDescent="0.25">
      <c r="B347" s="170">
        <v>6</v>
      </c>
      <c r="C347" s="170" t="s">
        <v>69</v>
      </c>
      <c r="D347" s="168">
        <f>L347-L362</f>
        <v>1.5</v>
      </c>
      <c r="E347" s="168">
        <f>M347-M362</f>
        <v>0.39999999999999991</v>
      </c>
      <c r="F347" s="169">
        <f t="shared" si="118"/>
        <v>2.7500000000000009</v>
      </c>
      <c r="G347" s="169">
        <f t="shared" si="119"/>
        <v>5.4545454545454543E-2</v>
      </c>
      <c r="H347" s="169">
        <f t="shared" si="120"/>
        <v>1.5999999999999997E-2</v>
      </c>
      <c r="J347" s="170">
        <v>6</v>
      </c>
      <c r="K347" s="170" t="s">
        <v>69</v>
      </c>
      <c r="L347" s="168">
        <v>7.5</v>
      </c>
      <c r="M347" s="168">
        <v>2.9</v>
      </c>
      <c r="N347" s="169">
        <f t="shared" si="121"/>
        <v>1.5862068965517242</v>
      </c>
      <c r="O347" s="169">
        <f t="shared" si="122"/>
        <v>3.8900414937759337E-2</v>
      </c>
      <c r="P347" s="169">
        <f t="shared" si="123"/>
        <v>1.69392523364486E-2</v>
      </c>
    </row>
    <row r="348" spans="2:16" ht="14" customHeight="1" x14ac:dyDescent="0.25">
      <c r="B348" s="170">
        <v>7</v>
      </c>
      <c r="C348" s="7" t="s">
        <v>100</v>
      </c>
      <c r="D348" s="168">
        <f>L349-L364</f>
        <v>0.69999999999999973</v>
      </c>
      <c r="E348" s="168">
        <f>L349-L364</f>
        <v>0.69999999999999973</v>
      </c>
      <c r="F348" s="169">
        <f t="shared" si="118"/>
        <v>0</v>
      </c>
      <c r="G348" s="169">
        <f t="shared" si="119"/>
        <v>2.5454545454545445E-2</v>
      </c>
      <c r="H348" s="169">
        <f t="shared" si="120"/>
        <v>2.799999999999999E-2</v>
      </c>
      <c r="J348" s="170">
        <v>7</v>
      </c>
      <c r="K348" s="170" t="s">
        <v>46</v>
      </c>
      <c r="L348" s="178">
        <v>4.7</v>
      </c>
      <c r="M348" s="168">
        <v>2.9</v>
      </c>
      <c r="N348" s="169">
        <f t="shared" si="121"/>
        <v>0.62068965517241392</v>
      </c>
      <c r="O348" s="169">
        <f t="shared" si="122"/>
        <v>2.4377593360995851E-2</v>
      </c>
      <c r="P348" s="169">
        <f t="shared" si="123"/>
        <v>1.69392523364486E-2</v>
      </c>
    </row>
    <row r="349" spans="2:16" ht="14" customHeight="1" x14ac:dyDescent="0.25">
      <c r="B349" s="170">
        <v>8</v>
      </c>
      <c r="C349" s="170" t="s">
        <v>46</v>
      </c>
      <c r="D349" s="168">
        <f>L348-L363</f>
        <v>0.60000000000000053</v>
      </c>
      <c r="E349" s="168">
        <f>M348-M363</f>
        <v>0.5</v>
      </c>
      <c r="F349" s="169">
        <f t="shared" si="118"/>
        <v>0.20000000000000107</v>
      </c>
      <c r="G349" s="169">
        <f t="shared" si="119"/>
        <v>2.1818181818181837E-2</v>
      </c>
      <c r="H349" s="169">
        <f t="shared" si="120"/>
        <v>0.02</v>
      </c>
      <c r="J349" s="170">
        <v>8</v>
      </c>
      <c r="K349" s="7" t="s">
        <v>100</v>
      </c>
      <c r="L349" s="168">
        <v>4.0999999999999996</v>
      </c>
      <c r="M349" s="168">
        <v>0.7</v>
      </c>
      <c r="N349" s="169">
        <f t="shared" si="121"/>
        <v>4.8571428571428568</v>
      </c>
      <c r="O349" s="169">
        <f t="shared" si="122"/>
        <v>2.1265560165975101E-2</v>
      </c>
      <c r="P349" s="169">
        <f t="shared" si="123"/>
        <v>4.0887850467289715E-3</v>
      </c>
    </row>
    <row r="350" spans="2:16" ht="14" customHeight="1" x14ac:dyDescent="0.25">
      <c r="B350" s="170">
        <v>9</v>
      </c>
      <c r="C350" s="170" t="s">
        <v>357</v>
      </c>
      <c r="D350" s="168">
        <f>L350-L365</f>
        <v>0.5</v>
      </c>
      <c r="E350" s="168">
        <f>L350-L365</f>
        <v>0.5</v>
      </c>
      <c r="F350" s="169">
        <f t="shared" si="118"/>
        <v>0</v>
      </c>
      <c r="G350" s="169">
        <f t="shared" si="119"/>
        <v>1.8181818181818181E-2</v>
      </c>
      <c r="H350" s="169">
        <f t="shared" si="120"/>
        <v>0.02</v>
      </c>
      <c r="J350" s="170">
        <v>9</v>
      </c>
      <c r="K350" s="170" t="s">
        <v>357</v>
      </c>
      <c r="L350" s="168">
        <v>3.6</v>
      </c>
      <c r="M350" s="168">
        <v>1.9</v>
      </c>
      <c r="N350" s="169">
        <f t="shared" si="121"/>
        <v>0.89473684210526327</v>
      </c>
      <c r="O350" s="169">
        <f t="shared" si="122"/>
        <v>1.8672199170124481E-2</v>
      </c>
      <c r="P350" s="169">
        <f t="shared" si="123"/>
        <v>1.1098130841121495E-2</v>
      </c>
    </row>
    <row r="351" spans="2:16" ht="14" customHeight="1" x14ac:dyDescent="0.25">
      <c r="B351" s="170">
        <v>10</v>
      </c>
      <c r="C351" s="170" t="s">
        <v>28</v>
      </c>
      <c r="D351" s="168">
        <f>L351-L366</f>
        <v>0.39999999999999991</v>
      </c>
      <c r="E351" s="168">
        <f>L351-L366</f>
        <v>0.39999999999999991</v>
      </c>
      <c r="F351" s="169">
        <f t="shared" si="118"/>
        <v>0</v>
      </c>
      <c r="G351" s="169">
        <f t="shared" si="119"/>
        <v>1.4545454545454542E-2</v>
      </c>
      <c r="H351" s="169">
        <f t="shared" si="120"/>
        <v>1.5999999999999997E-2</v>
      </c>
      <c r="J351" s="170">
        <v>10</v>
      </c>
      <c r="K351" s="170" t="s">
        <v>28</v>
      </c>
      <c r="L351" s="168">
        <v>2.5</v>
      </c>
      <c r="M351" s="168">
        <v>2.1</v>
      </c>
      <c r="N351" s="169">
        <f t="shared" si="121"/>
        <v>0.19047619047619047</v>
      </c>
      <c r="O351" s="169">
        <f t="shared" si="122"/>
        <v>1.2966804979253111E-2</v>
      </c>
      <c r="P351" s="169">
        <f t="shared" si="123"/>
        <v>1.2266355140186917E-2</v>
      </c>
    </row>
    <row r="352" spans="2:16" ht="14" customHeight="1" x14ac:dyDescent="0.25">
      <c r="B352" s="340" t="s">
        <v>77</v>
      </c>
      <c r="C352" s="341"/>
      <c r="D352" s="168">
        <f>D353-SUM(D342:D351)</f>
        <v>1.8999999999999986</v>
      </c>
      <c r="E352" s="168">
        <f>E353-SUM(E342:E351)</f>
        <v>0.19999999999999929</v>
      </c>
      <c r="F352" s="169">
        <f t="shared" si="118"/>
        <v>8.5000000000000266</v>
      </c>
      <c r="G352" s="169">
        <f t="shared" si="119"/>
        <v>6.9090909090909036E-2</v>
      </c>
      <c r="H352" s="169">
        <f t="shared" si="120"/>
        <v>7.9999999999999724E-3</v>
      </c>
      <c r="J352" s="340" t="s">
        <v>77</v>
      </c>
      <c r="K352" s="341"/>
      <c r="L352" s="168">
        <v>10.1</v>
      </c>
      <c r="M352" s="168">
        <v>5.6</v>
      </c>
      <c r="N352" s="169">
        <f t="shared" si="121"/>
        <v>0.8035714285714286</v>
      </c>
      <c r="O352" s="169">
        <f t="shared" si="122"/>
        <v>5.2385892116182567E-2</v>
      </c>
      <c r="P352" s="169">
        <f t="shared" si="123"/>
        <v>3.2710280373831772E-2</v>
      </c>
    </row>
    <row r="353" spans="2:16" ht="14" customHeight="1" x14ac:dyDescent="0.25">
      <c r="B353" s="340" t="s">
        <v>78</v>
      </c>
      <c r="C353" s="341"/>
      <c r="D353" s="168">
        <f>L353-L368</f>
        <v>27.5</v>
      </c>
      <c r="E353" s="168">
        <f>M353-M368</f>
        <v>25</v>
      </c>
      <c r="F353" s="169">
        <f t="shared" si="118"/>
        <v>0.10000000000000009</v>
      </c>
      <c r="G353" s="169">
        <f t="shared" si="119"/>
        <v>1</v>
      </c>
      <c r="H353" s="169">
        <f t="shared" si="120"/>
        <v>1</v>
      </c>
      <c r="J353" s="340" t="s">
        <v>78</v>
      </c>
      <c r="K353" s="341"/>
      <c r="L353" s="168">
        <v>192.8</v>
      </c>
      <c r="M353" s="168">
        <v>171.2</v>
      </c>
      <c r="N353" s="169">
        <f t="shared" si="121"/>
        <v>0.1261682242990656</v>
      </c>
      <c r="O353" s="169">
        <f t="shared" si="122"/>
        <v>1</v>
      </c>
      <c r="P353" s="169">
        <f t="shared" si="123"/>
        <v>1</v>
      </c>
    </row>
    <row r="354" spans="2:16" ht="14" customHeight="1" x14ac:dyDescent="0.25">
      <c r="B354" s="10"/>
    </row>
    <row r="355" spans="2:16" ht="14" customHeight="1" x14ac:dyDescent="0.25">
      <c r="B355" s="10" t="s">
        <v>742</v>
      </c>
      <c r="J355" s="10" t="s">
        <v>743</v>
      </c>
    </row>
    <row r="356" spans="2:16" ht="14" customHeight="1" x14ac:dyDescent="0.25">
      <c r="B356" s="37" t="s">
        <v>96</v>
      </c>
      <c r="C356" s="7" t="s">
        <v>123</v>
      </c>
      <c r="D356" s="146">
        <v>45444</v>
      </c>
      <c r="E356" s="146">
        <v>45078</v>
      </c>
      <c r="F356" s="7" t="s">
        <v>34</v>
      </c>
      <c r="G356" s="7" t="s">
        <v>97</v>
      </c>
      <c r="H356" s="7" t="s">
        <v>124</v>
      </c>
      <c r="J356" s="37" t="s">
        <v>96</v>
      </c>
      <c r="K356" s="7" t="s">
        <v>123</v>
      </c>
      <c r="L356" s="146" t="s">
        <v>153</v>
      </c>
      <c r="M356" s="146" t="s">
        <v>154</v>
      </c>
      <c r="N356" s="7" t="s">
        <v>34</v>
      </c>
      <c r="O356" s="7" t="s">
        <v>97</v>
      </c>
      <c r="P356" s="7" t="s">
        <v>124</v>
      </c>
    </row>
    <row r="357" spans="2:16" ht="14" customHeight="1" x14ac:dyDescent="0.25">
      <c r="B357" s="170">
        <v>1</v>
      </c>
      <c r="C357" s="7" t="s">
        <v>98</v>
      </c>
      <c r="D357" s="168">
        <f t="shared" ref="D357:E363" si="124">L357-L372</f>
        <v>10</v>
      </c>
      <c r="E357" s="168">
        <f t="shared" si="124"/>
        <v>8.7000000000000028</v>
      </c>
      <c r="F357" s="169">
        <f>D357/E357-1</f>
        <v>0.14942528735632155</v>
      </c>
      <c r="G357" s="169">
        <f>D357/$D$368</f>
        <v>0.28328611898016987</v>
      </c>
      <c r="H357" s="169">
        <f>E357/$E$368</f>
        <v>0.27795527156549543</v>
      </c>
      <c r="J357" s="170">
        <v>1</v>
      </c>
      <c r="K357" s="7" t="s">
        <v>98</v>
      </c>
      <c r="L357" s="168">
        <v>44.9</v>
      </c>
      <c r="M357" s="168">
        <f>40.1</f>
        <v>40.1</v>
      </c>
      <c r="N357" s="169">
        <f>L357/M357-1</f>
        <v>0.11970074812967568</v>
      </c>
      <c r="O357" s="169">
        <f>L357/$L$368</f>
        <v>0.27162734422262552</v>
      </c>
      <c r="P357" s="169">
        <f>M357/$M$368</f>
        <v>0.27428180574555405</v>
      </c>
    </row>
    <row r="358" spans="2:16" ht="14" customHeight="1" x14ac:dyDescent="0.25">
      <c r="B358" s="170">
        <v>2</v>
      </c>
      <c r="C358" s="7" t="s">
        <v>172</v>
      </c>
      <c r="D358" s="168">
        <f t="shared" si="124"/>
        <v>10.5</v>
      </c>
      <c r="E358" s="168">
        <f t="shared" si="124"/>
        <v>9.5</v>
      </c>
      <c r="F358" s="169">
        <f t="shared" ref="F358:F368" si="125">D358/E358-1</f>
        <v>0.10526315789473695</v>
      </c>
      <c r="G358" s="169">
        <f t="shared" ref="G358:G368" si="126">D358/$D$368</f>
        <v>0.29745042492917839</v>
      </c>
      <c r="H358" s="169">
        <f t="shared" ref="H358:H368" si="127">E358/$E$368</f>
        <v>0.30351437699680528</v>
      </c>
      <c r="J358" s="170">
        <v>2</v>
      </c>
      <c r="K358" s="7" t="s">
        <v>172</v>
      </c>
      <c r="L358" s="168">
        <v>43.8</v>
      </c>
      <c r="M358" s="168">
        <v>40.9</v>
      </c>
      <c r="N358" s="169">
        <f t="shared" ref="N358:N368" si="128">L358/M358-1</f>
        <v>7.0904645476772554E-2</v>
      </c>
      <c r="O358" s="169">
        <f t="shared" ref="O358:O368" si="129">L358/$L$368</f>
        <v>0.26497277676950992</v>
      </c>
      <c r="P358" s="169">
        <f t="shared" ref="P358:P368" si="130">M358/$M$368</f>
        <v>0.27975376196990426</v>
      </c>
    </row>
    <row r="359" spans="2:16" ht="14" customHeight="1" x14ac:dyDescent="0.25">
      <c r="B359" s="170">
        <v>3</v>
      </c>
      <c r="C359" s="7" t="s">
        <v>25</v>
      </c>
      <c r="D359" s="168">
        <f t="shared" si="124"/>
        <v>3.4000000000000004</v>
      </c>
      <c r="E359" s="168">
        <f t="shared" si="124"/>
        <v>3.1000000000000014</v>
      </c>
      <c r="F359" s="169">
        <f t="shared" si="125"/>
        <v>9.6774193548386789E-2</v>
      </c>
      <c r="G359" s="169">
        <f t="shared" si="126"/>
        <v>9.631728045325777E-2</v>
      </c>
      <c r="H359" s="169">
        <f t="shared" si="127"/>
        <v>9.9041533546325972E-2</v>
      </c>
      <c r="J359" s="170">
        <v>3</v>
      </c>
      <c r="K359" s="7" t="s">
        <v>25</v>
      </c>
      <c r="L359" s="168">
        <v>17.3</v>
      </c>
      <c r="M359" s="168">
        <v>16.3</v>
      </c>
      <c r="N359" s="169">
        <f t="shared" si="128"/>
        <v>6.1349693251533832E-2</v>
      </c>
      <c r="O359" s="169">
        <f t="shared" si="129"/>
        <v>0.10465819721718088</v>
      </c>
      <c r="P359" s="169">
        <f t="shared" si="130"/>
        <v>0.11149110807113545</v>
      </c>
    </row>
    <row r="360" spans="2:16" ht="14" customHeight="1" x14ac:dyDescent="0.25">
      <c r="B360" s="170">
        <v>4</v>
      </c>
      <c r="C360" s="37" t="s">
        <v>115</v>
      </c>
      <c r="D360" s="168">
        <f t="shared" si="124"/>
        <v>2.6000000000000014</v>
      </c>
      <c r="E360" s="168">
        <f t="shared" si="124"/>
        <v>3.0999999999999996</v>
      </c>
      <c r="F360" s="169">
        <f t="shared" si="125"/>
        <v>-0.16129032258064457</v>
      </c>
      <c r="G360" s="169">
        <f t="shared" si="126"/>
        <v>7.3654390934844216E-2</v>
      </c>
      <c r="H360" s="169">
        <f t="shared" si="127"/>
        <v>9.9041533546325916E-2</v>
      </c>
      <c r="J360" s="170">
        <v>4</v>
      </c>
      <c r="K360" s="37" t="s">
        <v>115</v>
      </c>
      <c r="L360" s="168">
        <v>16.3</v>
      </c>
      <c r="M360" s="168">
        <v>13.9</v>
      </c>
      <c r="N360" s="169">
        <f t="shared" si="128"/>
        <v>0.17266187050359716</v>
      </c>
      <c r="O360" s="169">
        <f t="shared" si="129"/>
        <v>9.8608590441621291E-2</v>
      </c>
      <c r="P360" s="169">
        <f t="shared" si="130"/>
        <v>9.5075239398084821E-2</v>
      </c>
    </row>
    <row r="361" spans="2:16" ht="14" customHeight="1" x14ac:dyDescent="0.25">
      <c r="B361" s="170">
        <v>5</v>
      </c>
      <c r="C361" s="7" t="s">
        <v>102</v>
      </c>
      <c r="D361" s="168">
        <f t="shared" si="124"/>
        <v>2.8999999999999986</v>
      </c>
      <c r="E361" s="168">
        <f t="shared" si="124"/>
        <v>3.5</v>
      </c>
      <c r="F361" s="169">
        <f t="shared" si="125"/>
        <v>-0.17142857142857182</v>
      </c>
      <c r="G361" s="169">
        <f t="shared" si="126"/>
        <v>8.2152974504249229E-2</v>
      </c>
      <c r="H361" s="169">
        <f t="shared" si="127"/>
        <v>0.1118210862619809</v>
      </c>
      <c r="J361" s="170">
        <v>5</v>
      </c>
      <c r="K361" s="7" t="s">
        <v>102</v>
      </c>
      <c r="L361" s="168">
        <v>16.2</v>
      </c>
      <c r="M361" s="168">
        <v>21.6</v>
      </c>
      <c r="N361" s="169">
        <f t="shared" si="128"/>
        <v>-0.25000000000000011</v>
      </c>
      <c r="O361" s="169">
        <f t="shared" si="129"/>
        <v>9.800362976406532E-2</v>
      </c>
      <c r="P361" s="169">
        <f t="shared" si="130"/>
        <v>0.14774281805745557</v>
      </c>
    </row>
    <row r="362" spans="2:16" ht="14" customHeight="1" x14ac:dyDescent="0.25">
      <c r="B362" s="170">
        <v>6</v>
      </c>
      <c r="C362" s="170" t="s">
        <v>69</v>
      </c>
      <c r="D362" s="168">
        <f t="shared" si="124"/>
        <v>1</v>
      </c>
      <c r="E362" s="168">
        <f t="shared" si="124"/>
        <v>0.5</v>
      </c>
      <c r="F362" s="169">
        <f t="shared" si="125"/>
        <v>1</v>
      </c>
      <c r="G362" s="169">
        <f t="shared" si="126"/>
        <v>2.8328611898016987E-2</v>
      </c>
      <c r="H362" s="169">
        <f t="shared" si="127"/>
        <v>1.59744408945687E-2</v>
      </c>
      <c r="J362" s="170">
        <v>6</v>
      </c>
      <c r="K362" s="170" t="s">
        <v>69</v>
      </c>
      <c r="L362" s="168">
        <v>6</v>
      </c>
      <c r="M362" s="168">
        <v>2.5</v>
      </c>
      <c r="N362" s="169">
        <f t="shared" si="128"/>
        <v>1.4</v>
      </c>
      <c r="O362" s="169">
        <f t="shared" si="129"/>
        <v>3.6297640653357527E-2</v>
      </c>
      <c r="P362" s="169">
        <f t="shared" si="130"/>
        <v>1.7099863201094391E-2</v>
      </c>
    </row>
    <row r="363" spans="2:16" ht="14" customHeight="1" x14ac:dyDescent="0.25">
      <c r="B363" s="170">
        <v>7</v>
      </c>
      <c r="C363" s="170" t="s">
        <v>46</v>
      </c>
      <c r="D363" s="168">
        <f t="shared" si="124"/>
        <v>0.99999999999999956</v>
      </c>
      <c r="E363" s="168">
        <f t="shared" si="124"/>
        <v>0.79999999999999982</v>
      </c>
      <c r="F363" s="169">
        <f t="shared" si="125"/>
        <v>0.24999999999999978</v>
      </c>
      <c r="G363" s="169">
        <f t="shared" si="126"/>
        <v>2.8328611898016977E-2</v>
      </c>
      <c r="H363" s="169">
        <f t="shared" si="127"/>
        <v>2.5559105431309913E-2</v>
      </c>
      <c r="J363" s="170">
        <v>7</v>
      </c>
      <c r="K363" s="170" t="s">
        <v>46</v>
      </c>
      <c r="L363" s="178">
        <v>4.0999999999999996</v>
      </c>
      <c r="M363" s="168">
        <v>2.4</v>
      </c>
      <c r="N363" s="169">
        <f t="shared" si="128"/>
        <v>0.70833333333333326</v>
      </c>
      <c r="O363" s="169">
        <f t="shared" si="129"/>
        <v>2.4803387779794309E-2</v>
      </c>
      <c r="P363" s="169">
        <f t="shared" si="130"/>
        <v>1.6415868673050615E-2</v>
      </c>
    </row>
    <row r="364" spans="2:16" ht="14" customHeight="1" x14ac:dyDescent="0.25">
      <c r="B364" s="170">
        <v>8</v>
      </c>
      <c r="C364" s="170" t="s">
        <v>357</v>
      </c>
      <c r="D364" s="168">
        <f>L365-L379</f>
        <v>0.5</v>
      </c>
      <c r="E364" s="168">
        <f>M365-M379</f>
        <v>0.39999999999999991</v>
      </c>
      <c r="F364" s="169">
        <f t="shared" si="125"/>
        <v>0.25000000000000022</v>
      </c>
      <c r="G364" s="169">
        <f t="shared" si="126"/>
        <v>1.4164305949008494E-2</v>
      </c>
      <c r="H364" s="169">
        <f t="shared" si="127"/>
        <v>1.2779552715654957E-2</v>
      </c>
      <c r="J364" s="170">
        <v>8</v>
      </c>
      <c r="K364" s="7" t="s">
        <v>100</v>
      </c>
      <c r="L364" s="168">
        <v>3.4</v>
      </c>
      <c r="M364" s="168">
        <v>0.5</v>
      </c>
      <c r="N364" s="169">
        <f t="shared" si="128"/>
        <v>5.8</v>
      </c>
      <c r="O364" s="169">
        <f t="shared" si="129"/>
        <v>2.05686630369026E-2</v>
      </c>
      <c r="P364" s="169">
        <f t="shared" si="130"/>
        <v>3.4199726402188786E-3</v>
      </c>
    </row>
    <row r="365" spans="2:16" ht="14" customHeight="1" x14ac:dyDescent="0.25">
      <c r="B365" s="170">
        <v>9</v>
      </c>
      <c r="C365" s="7" t="s">
        <v>100</v>
      </c>
      <c r="D365" s="168">
        <f>L364-L380</f>
        <v>0.79999999999999982</v>
      </c>
      <c r="E365" s="168">
        <f>M364-M380</f>
        <v>9.9999999999999978E-2</v>
      </c>
      <c r="F365" s="169">
        <f t="shared" si="125"/>
        <v>7</v>
      </c>
      <c r="G365" s="169">
        <f t="shared" si="126"/>
        <v>2.2662889518413585E-2</v>
      </c>
      <c r="H365" s="169">
        <f t="shared" si="127"/>
        <v>3.1948881789137392E-3</v>
      </c>
      <c r="J365" s="170">
        <v>9</v>
      </c>
      <c r="K365" s="170" t="s">
        <v>357</v>
      </c>
      <c r="L365" s="168">
        <v>3.1</v>
      </c>
      <c r="M365" s="168">
        <v>1.5</v>
      </c>
      <c r="N365" s="169">
        <f t="shared" si="128"/>
        <v>1.0666666666666669</v>
      </c>
      <c r="O365" s="169">
        <f t="shared" si="129"/>
        <v>1.8753781004234724E-2</v>
      </c>
      <c r="P365" s="169">
        <f t="shared" si="130"/>
        <v>1.0259917920656636E-2</v>
      </c>
    </row>
    <row r="366" spans="2:16" ht="14" customHeight="1" x14ac:dyDescent="0.25">
      <c r="B366" s="170">
        <v>10</v>
      </c>
      <c r="C366" s="170" t="s">
        <v>28</v>
      </c>
      <c r="D366" s="168"/>
      <c r="E366" s="168"/>
      <c r="F366" s="169"/>
      <c r="G366" s="169"/>
      <c r="H366" s="169"/>
      <c r="J366" s="170">
        <v>10</v>
      </c>
      <c r="K366" s="170" t="s">
        <v>28</v>
      </c>
      <c r="L366" s="168">
        <v>2.1</v>
      </c>
      <c r="M366" s="168">
        <v>1.8</v>
      </c>
      <c r="N366" s="169">
        <f t="shared" si="128"/>
        <v>0.16666666666666674</v>
      </c>
      <c r="O366" s="169">
        <f t="shared" si="129"/>
        <v>1.2704174228675136E-2</v>
      </c>
      <c r="P366" s="169">
        <f t="shared" si="130"/>
        <v>1.2311901504787963E-2</v>
      </c>
    </row>
    <row r="367" spans="2:16" ht="14" customHeight="1" x14ac:dyDescent="0.25">
      <c r="B367" s="340" t="s">
        <v>77</v>
      </c>
      <c r="C367" s="341"/>
      <c r="D367" s="168">
        <f>L367-L382</f>
        <v>1.9000000000000004</v>
      </c>
      <c r="E367" s="168">
        <f>M367-M382</f>
        <v>0.59999999999999964</v>
      </c>
      <c r="F367" s="169">
        <f t="shared" si="125"/>
        <v>2.1666666666666692</v>
      </c>
      <c r="G367" s="169">
        <f t="shared" si="126"/>
        <v>5.3824362606232287E-2</v>
      </c>
      <c r="H367" s="169">
        <f t="shared" si="127"/>
        <v>1.9169329073482427E-2</v>
      </c>
      <c r="J367" s="340" t="s">
        <v>77</v>
      </c>
      <c r="K367" s="341"/>
      <c r="L367" s="168">
        <v>8</v>
      </c>
      <c r="M367" s="168">
        <v>4.8</v>
      </c>
      <c r="N367" s="169">
        <f t="shared" si="128"/>
        <v>0.66666666666666674</v>
      </c>
      <c r="O367" s="169">
        <f t="shared" si="129"/>
        <v>4.8396854204476702E-2</v>
      </c>
      <c r="P367" s="169">
        <f t="shared" si="130"/>
        <v>3.2831737346101231E-2</v>
      </c>
    </row>
    <row r="368" spans="2:16" ht="14" customHeight="1" x14ac:dyDescent="0.25">
      <c r="B368" s="340" t="s">
        <v>78</v>
      </c>
      <c r="C368" s="341"/>
      <c r="D368" s="168">
        <f>L368-L383</f>
        <v>35.300000000000011</v>
      </c>
      <c r="E368" s="168">
        <f>M368-M383</f>
        <v>31.299999999999983</v>
      </c>
      <c r="F368" s="169">
        <f t="shared" si="125"/>
        <v>0.12779552715655051</v>
      </c>
      <c r="G368" s="169">
        <f t="shared" si="126"/>
        <v>1</v>
      </c>
      <c r="H368" s="169">
        <f t="shared" si="127"/>
        <v>1</v>
      </c>
      <c r="J368" s="340" t="s">
        <v>78</v>
      </c>
      <c r="K368" s="341"/>
      <c r="L368" s="168">
        <v>165.3</v>
      </c>
      <c r="M368" s="168">
        <v>146.19999999999999</v>
      </c>
      <c r="N368" s="169">
        <f t="shared" si="128"/>
        <v>0.13064295485636124</v>
      </c>
      <c r="O368" s="169">
        <f t="shared" si="129"/>
        <v>1</v>
      </c>
      <c r="P368" s="169">
        <f t="shared" si="130"/>
        <v>1</v>
      </c>
    </row>
    <row r="369" spans="2:16" ht="14" customHeight="1" x14ac:dyDescent="0.25">
      <c r="B369" s="10"/>
    </row>
    <row r="370" spans="2:16" ht="14" customHeight="1" x14ac:dyDescent="0.25">
      <c r="B370" s="10" t="s">
        <v>744</v>
      </c>
      <c r="J370" s="10" t="s">
        <v>745</v>
      </c>
    </row>
    <row r="371" spans="2:16" ht="14" customHeight="1" x14ac:dyDescent="0.25">
      <c r="B371" s="37" t="s">
        <v>96</v>
      </c>
      <c r="C371" s="7" t="s">
        <v>123</v>
      </c>
      <c r="D371" s="146">
        <v>45413</v>
      </c>
      <c r="E371" s="146">
        <v>45047</v>
      </c>
      <c r="F371" s="7" t="s">
        <v>34</v>
      </c>
      <c r="G371" s="7" t="s">
        <v>97</v>
      </c>
      <c r="H371" s="7" t="s">
        <v>124</v>
      </c>
      <c r="J371" s="37" t="s">
        <v>96</v>
      </c>
      <c r="K371" s="7" t="s">
        <v>123</v>
      </c>
      <c r="L371" s="146" t="s">
        <v>157</v>
      </c>
      <c r="M371" s="146" t="s">
        <v>158</v>
      </c>
      <c r="N371" s="7" t="s">
        <v>34</v>
      </c>
      <c r="O371" s="7" t="s">
        <v>97</v>
      </c>
      <c r="P371" s="7" t="s">
        <v>124</v>
      </c>
    </row>
    <row r="372" spans="2:16" ht="14" customHeight="1" x14ac:dyDescent="0.25">
      <c r="B372" s="170">
        <v>1</v>
      </c>
      <c r="C372" s="7" t="s">
        <v>98</v>
      </c>
      <c r="D372" s="168">
        <f t="shared" ref="D372:D383" si="131">L372-L387</f>
        <v>7.1999999999999993</v>
      </c>
      <c r="E372" s="168">
        <f t="shared" ref="E372:E383" si="132">M372-M387</f>
        <v>8.3999999999999986</v>
      </c>
      <c r="F372" s="169">
        <f>D372/E372-1</f>
        <v>-0.14285714285714279</v>
      </c>
      <c r="G372" s="169">
        <f>D372/$D$383</f>
        <v>0.22784810126582281</v>
      </c>
      <c r="H372" s="169">
        <f>E372/$E$383</f>
        <v>0.29787234042553185</v>
      </c>
      <c r="J372" s="170">
        <v>1</v>
      </c>
      <c r="K372" s="7" t="s">
        <v>98</v>
      </c>
      <c r="L372" s="168">
        <v>34.9</v>
      </c>
      <c r="M372" s="168">
        <v>31.4</v>
      </c>
      <c r="N372" s="169">
        <f>L372/M372-1</f>
        <v>0.11146496815286633</v>
      </c>
      <c r="O372" s="169">
        <f>L372/$L$383</f>
        <v>0.26846153846153847</v>
      </c>
      <c r="P372" s="169">
        <f>M372/$M$383</f>
        <v>0.27328111401218447</v>
      </c>
    </row>
    <row r="373" spans="2:16" ht="14" customHeight="1" x14ac:dyDescent="0.25">
      <c r="B373" s="170">
        <v>2</v>
      </c>
      <c r="C373" s="7" t="s">
        <v>172</v>
      </c>
      <c r="D373" s="168">
        <f t="shared" si="131"/>
        <v>7.7999999999999972</v>
      </c>
      <c r="E373" s="168">
        <f t="shared" si="132"/>
        <v>7.2999999999999972</v>
      </c>
      <c r="F373" s="169">
        <f t="shared" ref="F373:F383" si="133">D373/E373-1</f>
        <v>6.8493150684931559E-2</v>
      </c>
      <c r="G373" s="169">
        <f t="shared" ref="G373:G383" si="134">D373/$D$383</f>
        <v>0.24683544303797464</v>
      </c>
      <c r="H373" s="169">
        <f t="shared" ref="H373:H383" si="135">E373/$E$383</f>
        <v>0.25886524822695023</v>
      </c>
      <c r="J373" s="170">
        <v>2</v>
      </c>
      <c r="K373" s="7" t="s">
        <v>172</v>
      </c>
      <c r="L373" s="168">
        <v>33.299999999999997</v>
      </c>
      <c r="M373" s="168">
        <v>31.4</v>
      </c>
      <c r="N373" s="169">
        <f t="shared" ref="N373:N383" si="136">L373/M373-1</f>
        <v>6.0509554140127264E-2</v>
      </c>
      <c r="O373" s="169">
        <f t="shared" ref="O373:O383" si="137">L373/$L$383</f>
        <v>0.25615384615384612</v>
      </c>
      <c r="P373" s="169">
        <f t="shared" ref="P373:P383" si="138">M373/$M$383</f>
        <v>0.27328111401218447</v>
      </c>
    </row>
    <row r="374" spans="2:16" ht="14" customHeight="1" x14ac:dyDescent="0.25">
      <c r="B374" s="170">
        <v>3</v>
      </c>
      <c r="C374" s="7" t="s">
        <v>25</v>
      </c>
      <c r="D374" s="168">
        <f t="shared" si="131"/>
        <v>3.0999999999999996</v>
      </c>
      <c r="E374" s="168">
        <f t="shared" si="132"/>
        <v>5.6999999999999993</v>
      </c>
      <c r="F374" s="169">
        <f t="shared" si="133"/>
        <v>-0.45614035087719296</v>
      </c>
      <c r="G374" s="169">
        <f t="shared" si="134"/>
        <v>9.8101265822784819E-2</v>
      </c>
      <c r="H374" s="169">
        <f t="shared" si="135"/>
        <v>0.20212765957446804</v>
      </c>
      <c r="J374" s="170">
        <v>3</v>
      </c>
      <c r="K374" s="7" t="s">
        <v>25</v>
      </c>
      <c r="L374" s="168">
        <v>13.9</v>
      </c>
      <c r="M374" s="168">
        <v>13.2</v>
      </c>
      <c r="N374" s="169">
        <f t="shared" si="136"/>
        <v>5.3030303030303205E-2</v>
      </c>
      <c r="O374" s="169">
        <f t="shared" si="137"/>
        <v>0.10692307692307693</v>
      </c>
      <c r="P374" s="169">
        <f t="shared" si="138"/>
        <v>0.11488250652741513</v>
      </c>
    </row>
    <row r="375" spans="2:16" ht="14" customHeight="1" x14ac:dyDescent="0.25">
      <c r="B375" s="170">
        <v>4</v>
      </c>
      <c r="C375" s="37" t="s">
        <v>115</v>
      </c>
      <c r="D375" s="168">
        <f t="shared" si="131"/>
        <v>3.51</v>
      </c>
      <c r="E375" s="168">
        <f t="shared" si="132"/>
        <v>1.3000000000000007</v>
      </c>
      <c r="F375" s="169">
        <f t="shared" si="133"/>
        <v>1.6999999999999984</v>
      </c>
      <c r="G375" s="169">
        <f t="shared" si="134"/>
        <v>0.11107594936708862</v>
      </c>
      <c r="H375" s="169">
        <f t="shared" si="135"/>
        <v>4.6099290780141862E-2</v>
      </c>
      <c r="J375" s="170">
        <v>4</v>
      </c>
      <c r="K375" s="37" t="s">
        <v>115</v>
      </c>
      <c r="L375" s="168">
        <v>13.7</v>
      </c>
      <c r="M375" s="168">
        <v>10.8</v>
      </c>
      <c r="N375" s="169">
        <f t="shared" si="136"/>
        <v>0.26851851851851838</v>
      </c>
      <c r="O375" s="169">
        <f t="shared" si="137"/>
        <v>0.10538461538461538</v>
      </c>
      <c r="P375" s="169">
        <f t="shared" si="138"/>
        <v>9.3994778067885115E-2</v>
      </c>
    </row>
    <row r="376" spans="2:16" ht="14" customHeight="1" x14ac:dyDescent="0.25">
      <c r="B376" s="170">
        <v>5</v>
      </c>
      <c r="C376" s="7" t="s">
        <v>102</v>
      </c>
      <c r="D376" s="168">
        <f t="shared" si="131"/>
        <v>3.5300000000000011</v>
      </c>
      <c r="E376" s="168">
        <f t="shared" si="132"/>
        <v>3.2000000000000011</v>
      </c>
      <c r="F376" s="169">
        <f t="shared" si="133"/>
        <v>0.10312499999999991</v>
      </c>
      <c r="G376" s="169">
        <f t="shared" si="134"/>
        <v>0.11170886075949372</v>
      </c>
      <c r="H376" s="169">
        <f t="shared" si="135"/>
        <v>0.11347517730496456</v>
      </c>
      <c r="J376" s="170">
        <v>5</v>
      </c>
      <c r="K376" s="7" t="s">
        <v>102</v>
      </c>
      <c r="L376" s="168">
        <v>13.3</v>
      </c>
      <c r="M376" s="168">
        <v>18.100000000000001</v>
      </c>
      <c r="N376" s="169">
        <f t="shared" si="136"/>
        <v>-0.26519337016574585</v>
      </c>
      <c r="O376" s="169">
        <f t="shared" si="137"/>
        <v>0.10230769230769231</v>
      </c>
      <c r="P376" s="169">
        <f t="shared" si="138"/>
        <v>0.15752828546562228</v>
      </c>
    </row>
    <row r="377" spans="2:16" ht="14" customHeight="1" x14ac:dyDescent="0.25">
      <c r="B377" s="170">
        <v>6</v>
      </c>
      <c r="C377" s="170" t="s">
        <v>69</v>
      </c>
      <c r="D377" s="168">
        <f t="shared" si="131"/>
        <v>1.0299999999999998</v>
      </c>
      <c r="E377" s="168">
        <f t="shared" si="132"/>
        <v>0.60000000000000009</v>
      </c>
      <c r="F377" s="169">
        <f t="shared" si="133"/>
        <v>0.71666666666666612</v>
      </c>
      <c r="G377" s="169">
        <f t="shared" si="134"/>
        <v>3.259493670886076E-2</v>
      </c>
      <c r="H377" s="169">
        <f t="shared" si="135"/>
        <v>2.1276595744680851E-2</v>
      </c>
      <c r="J377" s="170">
        <v>6</v>
      </c>
      <c r="K377" s="170" t="s">
        <v>69</v>
      </c>
      <c r="L377" s="168">
        <v>5</v>
      </c>
      <c r="M377" s="168">
        <v>2</v>
      </c>
      <c r="N377" s="169">
        <f t="shared" si="136"/>
        <v>1.5</v>
      </c>
      <c r="O377" s="169">
        <f t="shared" si="137"/>
        <v>3.8461538461538464E-2</v>
      </c>
      <c r="P377" s="169">
        <f t="shared" si="138"/>
        <v>1.7406440382941687E-2</v>
      </c>
    </row>
    <row r="378" spans="2:16" ht="14" customHeight="1" x14ac:dyDescent="0.25">
      <c r="B378" s="170">
        <v>7</v>
      </c>
      <c r="C378" s="170" t="s">
        <v>46</v>
      </c>
      <c r="D378" s="168">
        <f t="shared" si="131"/>
        <v>0.60000000000000009</v>
      </c>
      <c r="E378" s="168">
        <f t="shared" si="132"/>
        <v>0.5</v>
      </c>
      <c r="F378" s="169">
        <f t="shared" si="133"/>
        <v>0.20000000000000018</v>
      </c>
      <c r="G378" s="169">
        <f t="shared" si="134"/>
        <v>1.8987341772151906E-2</v>
      </c>
      <c r="H378" s="169">
        <f t="shared" si="135"/>
        <v>1.7730496453900707E-2</v>
      </c>
      <c r="J378" s="170">
        <v>7</v>
      </c>
      <c r="K378" s="170" t="s">
        <v>46</v>
      </c>
      <c r="L378" s="178">
        <v>3.1</v>
      </c>
      <c r="M378" s="168">
        <v>1.6</v>
      </c>
      <c r="N378" s="169">
        <f t="shared" si="136"/>
        <v>0.9375</v>
      </c>
      <c r="O378" s="169">
        <f t="shared" si="137"/>
        <v>2.3846153846153847E-2</v>
      </c>
      <c r="P378" s="169">
        <f t="shared" si="138"/>
        <v>1.392515230635335E-2</v>
      </c>
    </row>
    <row r="379" spans="2:16" ht="14" customHeight="1" x14ac:dyDescent="0.25">
      <c r="B379" s="170">
        <v>8</v>
      </c>
      <c r="C379" s="170" t="s">
        <v>357</v>
      </c>
      <c r="D379" s="168">
        <f t="shared" si="131"/>
        <v>0.6100000000000001</v>
      </c>
      <c r="E379" s="168">
        <f t="shared" si="132"/>
        <v>0.20000000000000007</v>
      </c>
      <c r="F379" s="169">
        <f t="shared" si="133"/>
        <v>2.0499999999999994</v>
      </c>
      <c r="G379" s="169">
        <f t="shared" si="134"/>
        <v>1.9303797468354436E-2</v>
      </c>
      <c r="H379" s="169">
        <f t="shared" si="135"/>
        <v>7.0921985815602853E-3</v>
      </c>
      <c r="J379" s="170">
        <v>8</v>
      </c>
      <c r="K379" s="170" t="s">
        <v>357</v>
      </c>
      <c r="L379" s="168">
        <v>2.6</v>
      </c>
      <c r="M379" s="168">
        <v>1.1000000000000001</v>
      </c>
      <c r="N379" s="169">
        <f t="shared" si="136"/>
        <v>1.3636363636363633</v>
      </c>
      <c r="O379" s="169">
        <f t="shared" si="137"/>
        <v>0.02</v>
      </c>
      <c r="P379" s="169">
        <f t="shared" si="138"/>
        <v>9.5735422106179285E-3</v>
      </c>
    </row>
    <row r="380" spans="2:16" ht="14" customHeight="1" x14ac:dyDescent="0.25">
      <c r="B380" s="170">
        <v>9</v>
      </c>
      <c r="C380" s="7" t="s">
        <v>100</v>
      </c>
      <c r="D380" s="168">
        <f t="shared" si="131"/>
        <v>0.8</v>
      </c>
      <c r="E380" s="168">
        <f t="shared" si="132"/>
        <v>0.10000000000000003</v>
      </c>
      <c r="F380" s="169">
        <f t="shared" si="133"/>
        <v>6.9999999999999982</v>
      </c>
      <c r="G380" s="169">
        <f t="shared" si="134"/>
        <v>2.5316455696202538E-2</v>
      </c>
      <c r="H380" s="169">
        <f t="shared" si="135"/>
        <v>3.5460992907801426E-3</v>
      </c>
      <c r="J380" s="170">
        <v>9</v>
      </c>
      <c r="K380" s="7" t="s">
        <v>100</v>
      </c>
      <c r="L380" s="168">
        <v>2.6</v>
      </c>
      <c r="M380" s="168">
        <v>0.4</v>
      </c>
      <c r="N380" s="169">
        <f t="shared" si="136"/>
        <v>5.5</v>
      </c>
      <c r="O380" s="169">
        <f t="shared" si="137"/>
        <v>0.02</v>
      </c>
      <c r="P380" s="169">
        <f t="shared" si="138"/>
        <v>3.4812880765883376E-3</v>
      </c>
    </row>
    <row r="381" spans="2:16" ht="14" customHeight="1" x14ac:dyDescent="0.25">
      <c r="B381" s="170">
        <v>10</v>
      </c>
      <c r="C381" s="170" t="s">
        <v>129</v>
      </c>
      <c r="D381" s="168">
        <f t="shared" si="131"/>
        <v>0.53999999999999992</v>
      </c>
      <c r="E381" s="168">
        <f t="shared" si="132"/>
        <v>-0.59999999999999987</v>
      </c>
      <c r="F381" s="169">
        <f t="shared" si="133"/>
        <v>-1.9</v>
      </c>
      <c r="G381" s="169">
        <f t="shared" si="134"/>
        <v>1.708860759493671E-2</v>
      </c>
      <c r="H381" s="169">
        <f t="shared" si="135"/>
        <v>-2.1276595744680844E-2</v>
      </c>
      <c r="J381" s="170">
        <v>10</v>
      </c>
      <c r="K381" s="170" t="s">
        <v>129</v>
      </c>
      <c r="L381" s="168">
        <v>1.4</v>
      </c>
      <c r="M381" s="168">
        <v>0.8</v>
      </c>
      <c r="N381" s="169">
        <f t="shared" si="136"/>
        <v>0.74999999999999978</v>
      </c>
      <c r="O381" s="169">
        <f t="shared" si="137"/>
        <v>1.0769230769230769E-2</v>
      </c>
      <c r="P381" s="169">
        <f t="shared" si="138"/>
        <v>6.9625761531766752E-3</v>
      </c>
    </row>
    <row r="382" spans="2:16" ht="14" customHeight="1" x14ac:dyDescent="0.25">
      <c r="B382" s="340" t="s">
        <v>77</v>
      </c>
      <c r="C382" s="341"/>
      <c r="D382" s="168">
        <f t="shared" si="131"/>
        <v>2.9499999999999997</v>
      </c>
      <c r="E382" s="168">
        <f t="shared" si="132"/>
        <v>2.1</v>
      </c>
      <c r="F382" s="169">
        <f t="shared" si="133"/>
        <v>0.40476190476190466</v>
      </c>
      <c r="G382" s="169">
        <f t="shared" si="134"/>
        <v>9.3354430379746847E-2</v>
      </c>
      <c r="H382" s="169">
        <f t="shared" si="135"/>
        <v>7.4468085106382975E-2</v>
      </c>
      <c r="J382" s="340" t="s">
        <v>77</v>
      </c>
      <c r="K382" s="341"/>
      <c r="L382" s="168">
        <v>6.1</v>
      </c>
      <c r="M382" s="168">
        <v>4.2</v>
      </c>
      <c r="N382" s="169">
        <f t="shared" si="136"/>
        <v>0.45238095238095233</v>
      </c>
      <c r="O382" s="169">
        <f t="shared" si="137"/>
        <v>4.6923076923076922E-2</v>
      </c>
      <c r="P382" s="169">
        <f t="shared" si="138"/>
        <v>3.6553524804177548E-2</v>
      </c>
    </row>
    <row r="383" spans="2:16" ht="14" customHeight="1" x14ac:dyDescent="0.25">
      <c r="B383" s="340" t="s">
        <v>78</v>
      </c>
      <c r="C383" s="341"/>
      <c r="D383" s="168">
        <f t="shared" si="131"/>
        <v>31.599999999999994</v>
      </c>
      <c r="E383" s="168">
        <f t="shared" si="132"/>
        <v>28.200000000000003</v>
      </c>
      <c r="F383" s="169">
        <f t="shared" si="133"/>
        <v>0.12056737588652444</v>
      </c>
      <c r="G383" s="169">
        <f t="shared" si="134"/>
        <v>1</v>
      </c>
      <c r="H383" s="169">
        <f t="shared" si="135"/>
        <v>1</v>
      </c>
      <c r="J383" s="340" t="s">
        <v>78</v>
      </c>
      <c r="K383" s="341"/>
      <c r="L383" s="168">
        <v>130</v>
      </c>
      <c r="M383" s="168">
        <v>114.9</v>
      </c>
      <c r="N383" s="169">
        <f t="shared" si="136"/>
        <v>0.1314186248912097</v>
      </c>
      <c r="O383" s="169">
        <f t="shared" si="137"/>
        <v>1</v>
      </c>
      <c r="P383" s="169">
        <f t="shared" si="138"/>
        <v>1</v>
      </c>
    </row>
    <row r="384" spans="2:16" ht="14" customHeight="1" x14ac:dyDescent="0.25">
      <c r="B384" s="10"/>
    </row>
    <row r="385" spans="2:16" ht="14" customHeight="1" x14ac:dyDescent="0.25">
      <c r="B385" s="10" t="s">
        <v>746</v>
      </c>
      <c r="J385" s="10" t="s">
        <v>747</v>
      </c>
    </row>
    <row r="386" spans="2:16" ht="14" customHeight="1" x14ac:dyDescent="0.25">
      <c r="B386" s="37" t="s">
        <v>96</v>
      </c>
      <c r="C386" s="7" t="s">
        <v>123</v>
      </c>
      <c r="D386" s="146">
        <v>45383</v>
      </c>
      <c r="E386" s="146">
        <v>45017</v>
      </c>
      <c r="F386" s="7" t="s">
        <v>34</v>
      </c>
      <c r="G386" s="7" t="s">
        <v>97</v>
      </c>
      <c r="H386" s="7" t="s">
        <v>124</v>
      </c>
      <c r="J386" s="37" t="s">
        <v>96</v>
      </c>
      <c r="K386" s="7" t="s">
        <v>123</v>
      </c>
      <c r="L386" s="146" t="s">
        <v>161</v>
      </c>
      <c r="M386" s="146" t="s">
        <v>162</v>
      </c>
      <c r="N386" s="7" t="s">
        <v>34</v>
      </c>
      <c r="O386" s="7" t="s">
        <v>97</v>
      </c>
      <c r="P386" s="7" t="s">
        <v>124</v>
      </c>
    </row>
    <row r="387" spans="2:16" ht="14" customHeight="1" x14ac:dyDescent="0.25">
      <c r="B387" s="170">
        <v>1</v>
      </c>
      <c r="C387" s="7" t="s">
        <v>98</v>
      </c>
      <c r="D387" s="168">
        <v>6.7</v>
      </c>
      <c r="E387" s="168">
        <v>7.4</v>
      </c>
      <c r="F387" s="169">
        <f>D387/E387-1</f>
        <v>-9.4594594594594628E-2</v>
      </c>
      <c r="G387" s="169">
        <f>D387/D$398</f>
        <v>0.27459016393442626</v>
      </c>
      <c r="H387" s="169">
        <f>E387/E$398</f>
        <v>0.3288888888888889</v>
      </c>
      <c r="J387" s="170">
        <v>1</v>
      </c>
      <c r="K387" s="7" t="s">
        <v>98</v>
      </c>
      <c r="L387" s="168">
        <v>27.7</v>
      </c>
      <c r="M387" s="168">
        <v>23</v>
      </c>
      <c r="N387" s="169">
        <f>L387/M387-1</f>
        <v>0.20434782608695645</v>
      </c>
      <c r="O387" s="169">
        <f>L387/L$398</f>
        <v>0.2815040650406504</v>
      </c>
      <c r="P387" s="169">
        <f>M387/M$398</f>
        <v>0.26528258362168394</v>
      </c>
    </row>
    <row r="388" spans="2:16" ht="14" customHeight="1" x14ac:dyDescent="0.25">
      <c r="B388" s="170">
        <v>2</v>
      </c>
      <c r="C388" s="7" t="s">
        <v>172</v>
      </c>
      <c r="D388" s="168">
        <v>6.3</v>
      </c>
      <c r="E388" s="168">
        <v>6.1</v>
      </c>
      <c r="F388" s="169">
        <f t="shared" ref="F388:F398" si="139">D388/E388-1</f>
        <v>3.2786885245901676E-2</v>
      </c>
      <c r="G388" s="169">
        <f t="shared" ref="G388:G398" si="140">D388/D$398</f>
        <v>0.25819672131147542</v>
      </c>
      <c r="H388" s="169">
        <f t="shared" ref="H388:H398" si="141">E388/E$398</f>
        <v>0.27111111111111108</v>
      </c>
      <c r="J388" s="170">
        <v>2</v>
      </c>
      <c r="K388" s="7" t="s">
        <v>172</v>
      </c>
      <c r="L388" s="168">
        <v>25.5</v>
      </c>
      <c r="M388" s="168">
        <v>24.1</v>
      </c>
      <c r="N388" s="169">
        <f t="shared" ref="N388:N398" si="142">L388/M388-1</f>
        <v>5.8091286307053958E-2</v>
      </c>
      <c r="O388" s="169">
        <f t="shared" ref="O388:O398" si="143">L388/L$398</f>
        <v>0.25914634146341464</v>
      </c>
      <c r="P388" s="169">
        <f t="shared" ref="P388:P398" si="144">M388/M$398</f>
        <v>0.2779700115340254</v>
      </c>
    </row>
    <row r="389" spans="2:16" ht="14" customHeight="1" x14ac:dyDescent="0.25">
      <c r="B389" s="170">
        <v>3</v>
      </c>
      <c r="C389" s="7" t="s">
        <v>25</v>
      </c>
      <c r="D389" s="168">
        <v>2.8</v>
      </c>
      <c r="E389" s="168">
        <v>2.5</v>
      </c>
      <c r="F389" s="169">
        <f t="shared" si="139"/>
        <v>0.11999999999999988</v>
      </c>
      <c r="G389" s="169">
        <f t="shared" si="140"/>
        <v>0.11475409836065574</v>
      </c>
      <c r="H389" s="169">
        <f t="shared" si="141"/>
        <v>0.1111111111111111</v>
      </c>
      <c r="J389" s="170">
        <v>3</v>
      </c>
      <c r="K389" s="37" t="s">
        <v>115</v>
      </c>
      <c r="L389" s="168">
        <v>10.8</v>
      </c>
      <c r="M389" s="168">
        <v>7.5</v>
      </c>
      <c r="N389" s="169">
        <f t="shared" si="142"/>
        <v>0.44000000000000017</v>
      </c>
      <c r="O389" s="169">
        <f t="shared" si="143"/>
        <v>0.10975609756097561</v>
      </c>
      <c r="P389" s="169">
        <f t="shared" si="144"/>
        <v>8.6505190311418678E-2</v>
      </c>
    </row>
    <row r="390" spans="2:16" ht="14" customHeight="1" x14ac:dyDescent="0.25">
      <c r="B390" s="170">
        <v>4</v>
      </c>
      <c r="C390" s="37" t="s">
        <v>115</v>
      </c>
      <c r="D390" s="168">
        <v>2.57</v>
      </c>
      <c r="E390" s="168">
        <v>1</v>
      </c>
      <c r="F390" s="169">
        <f t="shared" si="139"/>
        <v>1.5699999999999998</v>
      </c>
      <c r="G390" s="169">
        <f t="shared" si="140"/>
        <v>0.10532786885245901</v>
      </c>
      <c r="H390" s="169">
        <f t="shared" si="141"/>
        <v>4.4444444444444446E-2</v>
      </c>
      <c r="J390" s="170">
        <v>4</v>
      </c>
      <c r="K390" s="7" t="s">
        <v>25</v>
      </c>
      <c r="L390" s="168">
        <v>10.19</v>
      </c>
      <c r="M390" s="168">
        <v>9.5</v>
      </c>
      <c r="N390" s="169">
        <f t="shared" si="142"/>
        <v>7.263157894736838E-2</v>
      </c>
      <c r="O390" s="169">
        <f t="shared" si="143"/>
        <v>0.10355691056910568</v>
      </c>
      <c r="P390" s="169">
        <f t="shared" si="144"/>
        <v>0.10957324106113032</v>
      </c>
    </row>
    <row r="391" spans="2:16" ht="14" customHeight="1" x14ac:dyDescent="0.25">
      <c r="B391" s="170">
        <v>5</v>
      </c>
      <c r="C391" s="7" t="s">
        <v>102</v>
      </c>
      <c r="D391" s="168">
        <v>2.2200000000000002</v>
      </c>
      <c r="E391" s="168">
        <v>3</v>
      </c>
      <c r="F391" s="169">
        <f t="shared" si="139"/>
        <v>-0.2599999999999999</v>
      </c>
      <c r="G391" s="169">
        <f t="shared" si="140"/>
        <v>9.0983606557377056E-2</v>
      </c>
      <c r="H391" s="169">
        <f t="shared" si="141"/>
        <v>0.13333333333333333</v>
      </c>
      <c r="J391" s="170">
        <v>5</v>
      </c>
      <c r="K391" s="7" t="s">
        <v>102</v>
      </c>
      <c r="L391" s="168">
        <v>9.77</v>
      </c>
      <c r="M391" s="168">
        <v>14.9</v>
      </c>
      <c r="N391" s="169">
        <f t="shared" si="142"/>
        <v>-0.34429530201342284</v>
      </c>
      <c r="O391" s="169">
        <f t="shared" si="143"/>
        <v>9.9288617886178848E-2</v>
      </c>
      <c r="P391" s="169">
        <f t="shared" si="144"/>
        <v>0.17185697808535177</v>
      </c>
    </row>
    <row r="392" spans="2:16" ht="14" customHeight="1" x14ac:dyDescent="0.25">
      <c r="B392" s="170">
        <v>6</v>
      </c>
      <c r="C392" s="170" t="s">
        <v>69</v>
      </c>
      <c r="D392" s="168">
        <v>0.87</v>
      </c>
      <c r="E392" s="168">
        <v>0.3</v>
      </c>
      <c r="F392" s="169">
        <f t="shared" si="139"/>
        <v>1.9</v>
      </c>
      <c r="G392" s="169">
        <f t="shared" si="140"/>
        <v>3.5655737704918034E-2</v>
      </c>
      <c r="H392" s="169">
        <f t="shared" si="141"/>
        <v>1.3333333333333332E-2</v>
      </c>
      <c r="J392" s="170">
        <v>6</v>
      </c>
      <c r="K392" s="170" t="s">
        <v>69</v>
      </c>
      <c r="L392" s="168">
        <v>3.97</v>
      </c>
      <c r="M392" s="168">
        <v>1.4</v>
      </c>
      <c r="N392" s="169">
        <f t="shared" si="142"/>
        <v>1.8357142857142859</v>
      </c>
      <c r="O392" s="169">
        <f t="shared" si="143"/>
        <v>4.0345528455284552E-2</v>
      </c>
      <c r="P392" s="169">
        <f t="shared" si="144"/>
        <v>1.6147635524798153E-2</v>
      </c>
    </row>
    <row r="393" spans="2:16" ht="14" customHeight="1" x14ac:dyDescent="0.25">
      <c r="B393" s="170">
        <v>7</v>
      </c>
      <c r="C393" s="170" t="s">
        <v>46</v>
      </c>
      <c r="D393" s="168">
        <v>0.83</v>
      </c>
      <c r="E393" s="168">
        <v>0.7</v>
      </c>
      <c r="F393" s="169">
        <f t="shared" si="139"/>
        <v>0.18571428571428572</v>
      </c>
      <c r="G393" s="169">
        <f t="shared" si="140"/>
        <v>3.4016393442622951E-2</v>
      </c>
      <c r="H393" s="169">
        <f t="shared" si="141"/>
        <v>3.111111111111111E-2</v>
      </c>
      <c r="J393" s="170">
        <v>7</v>
      </c>
      <c r="K393" s="170" t="s">
        <v>46</v>
      </c>
      <c r="L393" s="178">
        <v>2.5</v>
      </c>
      <c r="M393" s="168">
        <v>1.1000000000000001</v>
      </c>
      <c r="N393" s="169">
        <f t="shared" si="142"/>
        <v>1.2727272727272725</v>
      </c>
      <c r="O393" s="169">
        <f t="shared" si="143"/>
        <v>2.540650406504065E-2</v>
      </c>
      <c r="P393" s="169">
        <f t="shared" si="144"/>
        <v>1.2687427912341408E-2</v>
      </c>
    </row>
    <row r="394" spans="2:16" ht="14" customHeight="1" x14ac:dyDescent="0.25">
      <c r="B394" s="170">
        <v>8</v>
      </c>
      <c r="C394" s="7" t="s">
        <v>100</v>
      </c>
      <c r="D394" s="168">
        <v>0.57999999999999996</v>
      </c>
      <c r="E394" s="168">
        <f>M394-M411</f>
        <v>0.30000000000000004</v>
      </c>
      <c r="F394" s="169">
        <f t="shared" si="139"/>
        <v>0.9333333333333329</v>
      </c>
      <c r="G394" s="169">
        <f t="shared" si="140"/>
        <v>2.3770491803278688E-2</v>
      </c>
      <c r="H394" s="169">
        <f t="shared" si="141"/>
        <v>1.3333333333333336E-2</v>
      </c>
      <c r="J394" s="170">
        <v>8</v>
      </c>
      <c r="K394" s="170" t="s">
        <v>357</v>
      </c>
      <c r="L394" s="168">
        <v>1.99</v>
      </c>
      <c r="M394" s="168">
        <v>0.9</v>
      </c>
      <c r="N394" s="169">
        <f t="shared" si="142"/>
        <v>1.2111111111111112</v>
      </c>
      <c r="O394" s="169">
        <f t="shared" si="143"/>
        <v>2.0223577235772356E-2</v>
      </c>
      <c r="P394" s="169">
        <f t="shared" si="144"/>
        <v>1.0380622837370242E-2</v>
      </c>
    </row>
    <row r="395" spans="2:16" ht="14" customHeight="1" x14ac:dyDescent="0.25">
      <c r="B395" s="170">
        <v>9</v>
      </c>
      <c r="C395" s="170" t="s">
        <v>357</v>
      </c>
      <c r="D395" s="168">
        <v>0.57999999999999996</v>
      </c>
      <c r="E395" s="168">
        <v>0.2</v>
      </c>
      <c r="F395" s="169">
        <f t="shared" si="139"/>
        <v>1.8999999999999995</v>
      </c>
      <c r="G395" s="169">
        <f t="shared" si="140"/>
        <v>2.3770491803278688E-2</v>
      </c>
      <c r="H395" s="169">
        <f t="shared" si="141"/>
        <v>8.8888888888888889E-3</v>
      </c>
      <c r="J395" s="170">
        <v>9</v>
      </c>
      <c r="K395" s="7" t="s">
        <v>100</v>
      </c>
      <c r="L395" s="168">
        <v>1.8</v>
      </c>
      <c r="M395" s="168">
        <v>0.3</v>
      </c>
      <c r="N395" s="169">
        <f t="shared" si="142"/>
        <v>5</v>
      </c>
      <c r="O395" s="169">
        <f t="shared" si="143"/>
        <v>1.8292682926829267E-2</v>
      </c>
      <c r="P395" s="169">
        <f t="shared" si="144"/>
        <v>3.4602076124567471E-3</v>
      </c>
    </row>
    <row r="396" spans="2:16" ht="14" customHeight="1" x14ac:dyDescent="0.25">
      <c r="B396" s="170">
        <v>10</v>
      </c>
      <c r="C396" s="170" t="s">
        <v>705</v>
      </c>
      <c r="D396" s="168">
        <v>0.73</v>
      </c>
      <c r="E396" s="168"/>
      <c r="F396" s="169" t="e">
        <f t="shared" si="139"/>
        <v>#DIV/0!</v>
      </c>
      <c r="G396" s="169">
        <f t="shared" si="140"/>
        <v>2.9918032786885249E-2</v>
      </c>
      <c r="H396" s="169">
        <f t="shared" si="141"/>
        <v>0</v>
      </c>
      <c r="J396" s="170">
        <v>10</v>
      </c>
      <c r="K396" s="170" t="s">
        <v>471</v>
      </c>
      <c r="L396" s="168">
        <v>0.86</v>
      </c>
      <c r="M396" s="168">
        <v>1.4</v>
      </c>
      <c r="N396" s="169">
        <f t="shared" si="142"/>
        <v>-0.38571428571428568</v>
      </c>
      <c r="O396" s="169">
        <f t="shared" si="143"/>
        <v>8.7398373983739834E-3</v>
      </c>
      <c r="P396" s="169">
        <f t="shared" si="144"/>
        <v>1.6147635524798153E-2</v>
      </c>
    </row>
    <row r="397" spans="2:16" ht="14" customHeight="1" x14ac:dyDescent="0.25">
      <c r="B397" s="340" t="s">
        <v>77</v>
      </c>
      <c r="C397" s="341"/>
      <c r="D397" s="168">
        <v>0.73</v>
      </c>
      <c r="E397" s="168">
        <v>0.8</v>
      </c>
      <c r="F397" s="169">
        <f t="shared" si="139"/>
        <v>-8.7500000000000022E-2</v>
      </c>
      <c r="G397" s="169">
        <f t="shared" si="140"/>
        <v>2.9918032786885249E-2</v>
      </c>
      <c r="H397" s="169">
        <f t="shared" si="141"/>
        <v>3.5555555555555556E-2</v>
      </c>
      <c r="J397" s="340" t="s">
        <v>77</v>
      </c>
      <c r="K397" s="341"/>
      <c r="L397" s="168">
        <v>3.15</v>
      </c>
      <c r="M397" s="168">
        <v>2.1</v>
      </c>
      <c r="N397" s="169">
        <f t="shared" si="142"/>
        <v>0.5</v>
      </c>
      <c r="O397" s="169">
        <f t="shared" si="143"/>
        <v>3.201219512195122E-2</v>
      </c>
      <c r="P397" s="169">
        <f t="shared" si="144"/>
        <v>2.4221453287197232E-2</v>
      </c>
    </row>
    <row r="398" spans="2:16" ht="14" customHeight="1" x14ac:dyDescent="0.25">
      <c r="B398" s="340" t="s">
        <v>78</v>
      </c>
      <c r="C398" s="341"/>
      <c r="D398" s="168">
        <v>24.4</v>
      </c>
      <c r="E398" s="168">
        <v>22.5</v>
      </c>
      <c r="F398" s="169">
        <f t="shared" si="139"/>
        <v>8.4444444444444322E-2</v>
      </c>
      <c r="G398" s="169">
        <f t="shared" si="140"/>
        <v>1</v>
      </c>
      <c r="H398" s="169">
        <f t="shared" si="141"/>
        <v>1</v>
      </c>
      <c r="J398" s="340" t="s">
        <v>78</v>
      </c>
      <c r="K398" s="341"/>
      <c r="L398" s="168">
        <v>98.4</v>
      </c>
      <c r="M398" s="168">
        <v>86.7</v>
      </c>
      <c r="N398" s="169">
        <f t="shared" si="142"/>
        <v>0.13494809688581322</v>
      </c>
      <c r="O398" s="169">
        <f t="shared" si="143"/>
        <v>1</v>
      </c>
      <c r="P398" s="169">
        <f t="shared" si="144"/>
        <v>1</v>
      </c>
    </row>
    <row r="399" spans="2:16" ht="14" customHeight="1" x14ac:dyDescent="0.25">
      <c r="B399" s="21"/>
      <c r="C399" s="21"/>
      <c r="D399" s="171"/>
      <c r="E399" s="171"/>
      <c r="F399" s="51"/>
      <c r="G399" s="51"/>
      <c r="H399" s="51"/>
    </row>
    <row r="400" spans="2:16" ht="14" customHeight="1" x14ac:dyDescent="0.25">
      <c r="B400" s="10" t="s">
        <v>748</v>
      </c>
      <c r="J400" s="10" t="s">
        <v>749</v>
      </c>
    </row>
    <row r="401" spans="2:16" ht="14" customHeight="1" x14ac:dyDescent="0.25">
      <c r="B401" s="37" t="s">
        <v>96</v>
      </c>
      <c r="C401" s="7" t="s">
        <v>123</v>
      </c>
      <c r="D401" s="146">
        <v>45352</v>
      </c>
      <c r="E401" s="146">
        <v>44986</v>
      </c>
      <c r="F401" s="7" t="s">
        <v>34</v>
      </c>
      <c r="G401" s="7" t="s">
        <v>97</v>
      </c>
      <c r="H401" s="7" t="s">
        <v>124</v>
      </c>
      <c r="J401" s="37" t="s">
        <v>96</v>
      </c>
      <c r="K401" s="7" t="s">
        <v>123</v>
      </c>
      <c r="L401" s="146" t="s">
        <v>165</v>
      </c>
      <c r="M401" s="146" t="s">
        <v>166</v>
      </c>
      <c r="N401" s="7" t="s">
        <v>34</v>
      </c>
      <c r="O401" s="7" t="s">
        <v>97</v>
      </c>
      <c r="P401" s="7" t="s">
        <v>124</v>
      </c>
    </row>
    <row r="402" spans="2:16" ht="14" customHeight="1" x14ac:dyDescent="0.25">
      <c r="B402" s="170">
        <v>1</v>
      </c>
      <c r="C402" s="7" t="s">
        <v>98</v>
      </c>
      <c r="D402" s="168">
        <f>L402-L417</f>
        <v>9.2000000000000011</v>
      </c>
      <c r="E402" s="168">
        <f>M402-M417</f>
        <v>8</v>
      </c>
      <c r="F402" s="169">
        <f>D402/E402-1</f>
        <v>0.15000000000000013</v>
      </c>
      <c r="G402" s="169">
        <f>D402/D$413</f>
        <v>0.29206349206349208</v>
      </c>
      <c r="H402" s="169">
        <f>E402/E$413</f>
        <v>0.27118644067796616</v>
      </c>
      <c r="J402" s="170">
        <v>1</v>
      </c>
      <c r="K402" s="7" t="s">
        <v>98</v>
      </c>
      <c r="L402" s="168">
        <v>21.3</v>
      </c>
      <c r="M402" s="168">
        <v>17.7</v>
      </c>
      <c r="N402" s="169">
        <f>L402/M402-1</f>
        <v>0.2033898305084747</v>
      </c>
      <c r="O402" s="169">
        <f>L402/L$413</f>
        <v>0.27413127413127414</v>
      </c>
      <c r="P402" s="169">
        <f>M402/M$413</f>
        <v>0.2637853949329359</v>
      </c>
    </row>
    <row r="403" spans="2:16" ht="14" customHeight="1" x14ac:dyDescent="0.25">
      <c r="B403" s="170">
        <v>2</v>
      </c>
      <c r="C403" s="7" t="s">
        <v>172</v>
      </c>
      <c r="D403" s="168">
        <f>L403-L418</f>
        <v>8.3000000000000007</v>
      </c>
      <c r="E403" s="168">
        <f>M403-M418</f>
        <v>9.3999999999999986</v>
      </c>
      <c r="F403" s="169">
        <f t="shared" ref="F403:F413" si="145">D403/E403-1</f>
        <v>-0.11702127659574446</v>
      </c>
      <c r="G403" s="169">
        <f t="shared" ref="G403:G413" si="146">D403/D$413</f>
        <v>0.2634920634920635</v>
      </c>
      <c r="H403" s="169">
        <f t="shared" ref="H403:H413" si="147">E403/E$413</f>
        <v>0.3186440677966102</v>
      </c>
      <c r="J403" s="170">
        <v>2</v>
      </c>
      <c r="K403" s="7" t="s">
        <v>172</v>
      </c>
      <c r="L403" s="168">
        <v>20</v>
      </c>
      <c r="M403" s="168">
        <v>18.899999999999999</v>
      </c>
      <c r="N403" s="169">
        <f t="shared" ref="N403:N413" si="148">L403/M403-1</f>
        <v>5.8201058201058364E-2</v>
      </c>
      <c r="O403" s="169">
        <f t="shared" ref="O403:O413" si="149">L403/L$413</f>
        <v>0.2574002574002574</v>
      </c>
      <c r="P403" s="169">
        <f t="shared" ref="P403:P413" si="150">M403/M$413</f>
        <v>0.28166915052160957</v>
      </c>
    </row>
    <row r="404" spans="2:16" ht="14" customHeight="1" x14ac:dyDescent="0.25">
      <c r="B404" s="170">
        <v>3</v>
      </c>
      <c r="C404" s="37" t="s">
        <v>115</v>
      </c>
      <c r="D404" s="168">
        <f>L405-L420</f>
        <v>3.2</v>
      </c>
      <c r="E404" s="168">
        <f>M405-M420</f>
        <v>2.5999999999999996</v>
      </c>
      <c r="F404" s="169">
        <f t="shared" si="145"/>
        <v>0.23076923076923106</v>
      </c>
      <c r="G404" s="169">
        <f t="shared" si="146"/>
        <v>0.10158730158730159</v>
      </c>
      <c r="H404" s="169">
        <f t="shared" si="147"/>
        <v>8.8135593220338995E-2</v>
      </c>
      <c r="J404" s="170">
        <v>3</v>
      </c>
      <c r="K404" s="7" t="s">
        <v>102</v>
      </c>
      <c r="L404" s="168">
        <v>9.3000000000000007</v>
      </c>
      <c r="M404" s="168">
        <v>10.5</v>
      </c>
      <c r="N404" s="169">
        <f t="shared" si="148"/>
        <v>-0.11428571428571421</v>
      </c>
      <c r="O404" s="169">
        <f t="shared" si="149"/>
        <v>0.1196911196911197</v>
      </c>
      <c r="P404" s="169">
        <f t="shared" si="150"/>
        <v>0.15648286140089421</v>
      </c>
    </row>
    <row r="405" spans="2:16" ht="14" customHeight="1" x14ac:dyDescent="0.25">
      <c r="B405" s="170">
        <v>4</v>
      </c>
      <c r="C405" s="7" t="s">
        <v>102</v>
      </c>
      <c r="D405" s="168">
        <f>L404-L419</f>
        <v>3.1000000000000005</v>
      </c>
      <c r="E405" s="168">
        <f>M404-M419</f>
        <v>3.5</v>
      </c>
      <c r="F405" s="169">
        <f t="shared" si="145"/>
        <v>-0.1142857142857141</v>
      </c>
      <c r="G405" s="169">
        <f t="shared" si="146"/>
        <v>9.8412698412698424E-2</v>
      </c>
      <c r="H405" s="169">
        <f t="shared" si="147"/>
        <v>0.1186440677966102</v>
      </c>
      <c r="J405" s="170">
        <v>4</v>
      </c>
      <c r="K405" s="37" t="s">
        <v>115</v>
      </c>
      <c r="L405" s="168">
        <v>8.4</v>
      </c>
      <c r="M405" s="168">
        <v>6.1</v>
      </c>
      <c r="N405" s="169">
        <f t="shared" si="148"/>
        <v>0.37704918032786905</v>
      </c>
      <c r="O405" s="169">
        <f t="shared" si="149"/>
        <v>0.10810810810810811</v>
      </c>
      <c r="P405" s="169">
        <f t="shared" si="150"/>
        <v>9.0909090909090912E-2</v>
      </c>
    </row>
    <row r="406" spans="2:16" ht="14" customHeight="1" x14ac:dyDescent="0.25">
      <c r="B406" s="170">
        <v>5</v>
      </c>
      <c r="C406" s="7" t="s">
        <v>25</v>
      </c>
      <c r="D406" s="168">
        <f t="shared" ref="D406:E413" si="151">L406-L421</f>
        <v>3</v>
      </c>
      <c r="E406" s="168">
        <f t="shared" si="151"/>
        <v>3.4000000000000004</v>
      </c>
      <c r="F406" s="169">
        <f t="shared" si="145"/>
        <v>-0.11764705882352955</v>
      </c>
      <c r="G406" s="169">
        <f t="shared" si="146"/>
        <v>9.5238095238095233E-2</v>
      </c>
      <c r="H406" s="169">
        <f t="shared" si="147"/>
        <v>0.11525423728813564</v>
      </c>
      <c r="J406" s="170">
        <v>5</v>
      </c>
      <c r="K406" s="7" t="s">
        <v>25</v>
      </c>
      <c r="L406" s="168">
        <v>7.2</v>
      </c>
      <c r="M406" s="168">
        <v>7.9</v>
      </c>
      <c r="N406" s="169">
        <f t="shared" si="148"/>
        <v>-8.8607594936708889E-2</v>
      </c>
      <c r="O406" s="169">
        <f t="shared" si="149"/>
        <v>9.2664092664092659E-2</v>
      </c>
      <c r="P406" s="169">
        <f t="shared" si="150"/>
        <v>0.11773472429210136</v>
      </c>
    </row>
    <row r="407" spans="2:16" ht="14" customHeight="1" x14ac:dyDescent="0.25">
      <c r="B407" s="170">
        <v>6</v>
      </c>
      <c r="C407" s="170" t="s">
        <v>69</v>
      </c>
      <c r="D407" s="168">
        <f t="shared" si="151"/>
        <v>1</v>
      </c>
      <c r="E407" s="168">
        <f t="shared" si="151"/>
        <v>0.40000000000000013</v>
      </c>
      <c r="F407" s="169">
        <f t="shared" si="145"/>
        <v>1.4999999999999991</v>
      </c>
      <c r="G407" s="169">
        <f t="shared" si="146"/>
        <v>3.1746031746031744E-2</v>
      </c>
      <c r="H407" s="169">
        <f t="shared" si="147"/>
        <v>1.3559322033898313E-2</v>
      </c>
      <c r="J407" s="170">
        <v>6</v>
      </c>
      <c r="K407" s="170" t="s">
        <v>69</v>
      </c>
      <c r="L407" s="168">
        <v>3</v>
      </c>
      <c r="M407" s="168">
        <v>1.1000000000000001</v>
      </c>
      <c r="N407" s="169">
        <f t="shared" si="148"/>
        <v>1.7272727272727271</v>
      </c>
      <c r="O407" s="169">
        <f t="shared" si="149"/>
        <v>3.8610038610038609E-2</v>
      </c>
      <c r="P407" s="169">
        <f t="shared" si="150"/>
        <v>1.6393442622950824E-2</v>
      </c>
    </row>
    <row r="408" spans="2:16" ht="14" customHeight="1" x14ac:dyDescent="0.25">
      <c r="B408" s="170">
        <v>7</v>
      </c>
      <c r="C408" s="170" t="s">
        <v>46</v>
      </c>
      <c r="D408" s="168">
        <f t="shared" si="151"/>
        <v>0.7</v>
      </c>
      <c r="E408" s="168">
        <f t="shared" si="151"/>
        <v>0.4</v>
      </c>
      <c r="F408" s="169">
        <f t="shared" si="145"/>
        <v>0.74999999999999978</v>
      </c>
      <c r="G408" s="169">
        <f t="shared" si="146"/>
        <v>2.222222222222222E-2</v>
      </c>
      <c r="H408" s="169">
        <f t="shared" si="147"/>
        <v>1.355932203389831E-2</v>
      </c>
      <c r="J408" s="170">
        <v>7</v>
      </c>
      <c r="K408" s="170" t="s">
        <v>46</v>
      </c>
      <c r="L408" s="178">
        <v>1.7</v>
      </c>
      <c r="M408" s="168">
        <v>0.8</v>
      </c>
      <c r="N408" s="169">
        <f t="shared" si="148"/>
        <v>1.125</v>
      </c>
      <c r="O408" s="169">
        <f t="shared" si="149"/>
        <v>2.1879021879021878E-2</v>
      </c>
      <c r="P408" s="169">
        <f t="shared" si="150"/>
        <v>1.1922503725782416E-2</v>
      </c>
    </row>
    <row r="409" spans="2:16" ht="14" customHeight="1" x14ac:dyDescent="0.25">
      <c r="B409" s="170">
        <v>8</v>
      </c>
      <c r="C409" s="170" t="s">
        <v>357</v>
      </c>
      <c r="D409" s="168">
        <f t="shared" si="151"/>
        <v>0.6</v>
      </c>
      <c r="E409" s="168">
        <f t="shared" si="151"/>
        <v>0.3</v>
      </c>
      <c r="F409" s="169">
        <f t="shared" si="145"/>
        <v>1</v>
      </c>
      <c r="G409" s="169">
        <f t="shared" si="146"/>
        <v>1.9047619047619046E-2</v>
      </c>
      <c r="H409" s="169">
        <f t="shared" si="147"/>
        <v>1.0169491525423732E-2</v>
      </c>
      <c r="J409" s="170">
        <v>8</v>
      </c>
      <c r="K409" s="170" t="s">
        <v>357</v>
      </c>
      <c r="L409" s="168">
        <v>1.5</v>
      </c>
      <c r="M409" s="168">
        <v>0.6</v>
      </c>
      <c r="N409" s="169">
        <f t="shared" si="148"/>
        <v>1.5</v>
      </c>
      <c r="O409" s="169">
        <f t="shared" si="149"/>
        <v>1.9305019305019305E-2</v>
      </c>
      <c r="P409" s="169">
        <f t="shared" si="150"/>
        <v>8.9418777943368107E-3</v>
      </c>
    </row>
    <row r="410" spans="2:16" ht="14" customHeight="1" x14ac:dyDescent="0.25">
      <c r="B410" s="170">
        <v>9</v>
      </c>
      <c r="C410" s="7" t="s">
        <v>100</v>
      </c>
      <c r="D410" s="168">
        <f t="shared" si="151"/>
        <v>0.59999999999999987</v>
      </c>
      <c r="E410" s="168">
        <f t="shared" si="151"/>
        <v>0.1</v>
      </c>
      <c r="F410" s="169">
        <f t="shared" si="145"/>
        <v>4.9999999999999982</v>
      </c>
      <c r="G410" s="169">
        <f t="shared" si="146"/>
        <v>1.9047619047619042E-2</v>
      </c>
      <c r="H410" s="169">
        <f t="shared" si="147"/>
        <v>3.3898305084745775E-3</v>
      </c>
      <c r="J410" s="170">
        <v>9</v>
      </c>
      <c r="K410" s="7" t="s">
        <v>100</v>
      </c>
      <c r="L410" s="168">
        <v>1.4</v>
      </c>
      <c r="M410" s="168">
        <v>0.2</v>
      </c>
      <c r="N410" s="169">
        <f t="shared" si="148"/>
        <v>5.9999999999999991</v>
      </c>
      <c r="O410" s="169">
        <f t="shared" si="149"/>
        <v>1.8018018018018018E-2</v>
      </c>
      <c r="P410" s="169">
        <f t="shared" si="150"/>
        <v>2.980625931445604E-3</v>
      </c>
    </row>
    <row r="411" spans="2:16" ht="14" customHeight="1" x14ac:dyDescent="0.25">
      <c r="B411" s="170">
        <v>10</v>
      </c>
      <c r="C411" s="170" t="s">
        <v>28</v>
      </c>
      <c r="D411" s="168">
        <f t="shared" si="151"/>
        <v>0.30000000000000004</v>
      </c>
      <c r="E411" s="168">
        <f t="shared" si="151"/>
        <v>0.19999999999999996</v>
      </c>
      <c r="F411" s="169">
        <f t="shared" si="145"/>
        <v>0.50000000000000067</v>
      </c>
      <c r="G411" s="169">
        <f t="shared" si="146"/>
        <v>9.5238095238095247E-3</v>
      </c>
      <c r="H411" s="169">
        <f t="shared" si="147"/>
        <v>6.7796610169491523E-3</v>
      </c>
      <c r="J411" s="170">
        <v>10</v>
      </c>
      <c r="K411" s="170" t="s">
        <v>28</v>
      </c>
      <c r="L411" s="168">
        <v>0.8</v>
      </c>
      <c r="M411" s="168">
        <v>0.6</v>
      </c>
      <c r="N411" s="169">
        <f t="shared" si="148"/>
        <v>0.33333333333333348</v>
      </c>
      <c r="O411" s="169">
        <f t="shared" si="149"/>
        <v>1.0296010296010296E-2</v>
      </c>
      <c r="P411" s="169">
        <f t="shared" si="150"/>
        <v>8.9418777943368107E-3</v>
      </c>
    </row>
    <row r="412" spans="2:16" ht="14" customHeight="1" x14ac:dyDescent="0.25">
      <c r="B412" s="340" t="s">
        <v>77</v>
      </c>
      <c r="C412" s="341"/>
      <c r="D412" s="168">
        <f t="shared" si="151"/>
        <v>1.4000000000000001</v>
      </c>
      <c r="E412" s="168">
        <f t="shared" si="151"/>
        <v>1.1000000000000001</v>
      </c>
      <c r="F412" s="169">
        <f t="shared" si="145"/>
        <v>0.27272727272727271</v>
      </c>
      <c r="G412" s="169">
        <f t="shared" si="146"/>
        <v>4.4444444444444446E-2</v>
      </c>
      <c r="H412" s="169">
        <f t="shared" si="147"/>
        <v>3.7288135593220348E-2</v>
      </c>
      <c r="J412" s="340" t="s">
        <v>77</v>
      </c>
      <c r="K412" s="341"/>
      <c r="L412" s="168">
        <v>3.1</v>
      </c>
      <c r="M412" s="168">
        <v>2.6</v>
      </c>
      <c r="N412" s="169">
        <f t="shared" si="148"/>
        <v>0.19230769230769229</v>
      </c>
      <c r="O412" s="169">
        <f t="shared" si="149"/>
        <v>3.9897039897039896E-2</v>
      </c>
      <c r="P412" s="169">
        <f t="shared" si="150"/>
        <v>3.8748137108792852E-2</v>
      </c>
    </row>
    <row r="413" spans="2:16" ht="14" customHeight="1" x14ac:dyDescent="0.25">
      <c r="B413" s="340" t="s">
        <v>78</v>
      </c>
      <c r="C413" s="341"/>
      <c r="D413" s="168">
        <f t="shared" si="151"/>
        <v>31.5</v>
      </c>
      <c r="E413" s="168">
        <f t="shared" si="151"/>
        <v>29.499999999999993</v>
      </c>
      <c r="F413" s="169">
        <f t="shared" si="145"/>
        <v>6.7796610169491789E-2</v>
      </c>
      <c r="G413" s="169">
        <f t="shared" si="146"/>
        <v>1</v>
      </c>
      <c r="H413" s="169">
        <f t="shared" si="147"/>
        <v>1</v>
      </c>
      <c r="J413" s="340" t="s">
        <v>78</v>
      </c>
      <c r="K413" s="341"/>
      <c r="L413" s="168">
        <v>77.7</v>
      </c>
      <c r="M413" s="168">
        <v>67.099999999999994</v>
      </c>
      <c r="N413" s="169">
        <f t="shared" si="148"/>
        <v>0.15797317436661706</v>
      </c>
      <c r="O413" s="169">
        <f t="shared" si="149"/>
        <v>1</v>
      </c>
      <c r="P413" s="169">
        <f t="shared" si="150"/>
        <v>1</v>
      </c>
    </row>
    <row r="414" spans="2:16" ht="14" customHeight="1" x14ac:dyDescent="0.25">
      <c r="B414" s="21"/>
      <c r="C414" s="21"/>
      <c r="D414" s="171"/>
      <c r="E414" s="171"/>
      <c r="F414" s="51"/>
      <c r="G414" s="51"/>
      <c r="H414" s="51"/>
    </row>
    <row r="415" spans="2:16" ht="14" customHeight="1" x14ac:dyDescent="0.25">
      <c r="B415" s="10" t="s">
        <v>750</v>
      </c>
      <c r="J415" s="10" t="s">
        <v>751</v>
      </c>
    </row>
    <row r="416" spans="2:16" ht="14" customHeight="1" x14ac:dyDescent="0.25">
      <c r="B416" s="37" t="s">
        <v>96</v>
      </c>
      <c r="C416" s="7" t="s">
        <v>123</v>
      </c>
      <c r="D416" s="146">
        <v>45323</v>
      </c>
      <c r="E416" s="146">
        <v>44958</v>
      </c>
      <c r="F416" s="7" t="s">
        <v>34</v>
      </c>
      <c r="G416" s="7" t="s">
        <v>97</v>
      </c>
      <c r="H416" s="7" t="s">
        <v>124</v>
      </c>
      <c r="I416" s="15"/>
      <c r="J416" s="37" t="s">
        <v>96</v>
      </c>
      <c r="K416" s="7" t="s">
        <v>123</v>
      </c>
      <c r="L416" s="146" t="s">
        <v>169</v>
      </c>
      <c r="M416" s="146" t="s">
        <v>170</v>
      </c>
      <c r="N416" s="7" t="s">
        <v>34</v>
      </c>
      <c r="O416" s="7" t="s">
        <v>97</v>
      </c>
      <c r="P416" s="7" t="s">
        <v>124</v>
      </c>
    </row>
    <row r="417" spans="2:17" ht="14" customHeight="1" x14ac:dyDescent="0.25">
      <c r="B417" s="170">
        <v>1</v>
      </c>
      <c r="C417" s="7" t="s">
        <v>98</v>
      </c>
      <c r="D417" s="168">
        <f t="shared" ref="D417:D428" si="152">L417-L432</f>
        <v>6.3999999999999995</v>
      </c>
      <c r="E417" s="168">
        <f t="shared" ref="E417:E428" si="153">M417-M432</f>
        <v>5.1999999999999993</v>
      </c>
      <c r="F417" s="169">
        <f t="shared" ref="F417:F428" si="154">D417/E417-1</f>
        <v>0.23076923076923084</v>
      </c>
      <c r="G417" s="169">
        <f>D417/D$428</f>
        <v>0.26666666666666661</v>
      </c>
      <c r="H417" s="169">
        <f t="shared" ref="H417:H428" si="155">E417/E$428</f>
        <v>0.2536585365853658</v>
      </c>
      <c r="J417" s="170">
        <v>1</v>
      </c>
      <c r="K417" s="7" t="s">
        <v>98</v>
      </c>
      <c r="L417" s="168">
        <v>12.1</v>
      </c>
      <c r="M417" s="168">
        <v>9.6999999999999993</v>
      </c>
      <c r="N417" s="169">
        <f>L417/M417-1</f>
        <v>0.24742268041237114</v>
      </c>
      <c r="O417" s="169">
        <f>L417/L$428</f>
        <v>0.26190476190476186</v>
      </c>
      <c r="P417" s="169">
        <f>M417/M$428</f>
        <v>0.25797872340425532</v>
      </c>
      <c r="Q417" s="219"/>
    </row>
    <row r="418" spans="2:17" ht="14" customHeight="1" x14ac:dyDescent="0.25">
      <c r="B418" s="170">
        <v>2</v>
      </c>
      <c r="C418" s="7" t="s">
        <v>172</v>
      </c>
      <c r="D418" s="168">
        <f t="shared" si="152"/>
        <v>6.2999999999999989</v>
      </c>
      <c r="E418" s="168">
        <f t="shared" si="153"/>
        <v>5.3</v>
      </c>
      <c r="F418" s="169">
        <f t="shared" si="154"/>
        <v>0.1886792452830186</v>
      </c>
      <c r="G418" s="169">
        <f t="shared" ref="G418:G428" si="156">D418/D$428</f>
        <v>0.2624999999999999</v>
      </c>
      <c r="H418" s="169">
        <f t="shared" si="155"/>
        <v>0.25853658536585367</v>
      </c>
      <c r="J418" s="170">
        <v>2</v>
      </c>
      <c r="K418" s="7" t="s">
        <v>172</v>
      </c>
      <c r="L418" s="168">
        <v>11.7</v>
      </c>
      <c r="M418" s="168">
        <v>9.5</v>
      </c>
      <c r="N418" s="169">
        <f t="shared" ref="N418:N428" si="157">L418/M418-1</f>
        <v>0.23157894736842088</v>
      </c>
      <c r="O418" s="169">
        <f t="shared" ref="O418:O428" si="158">L418/L$428</f>
        <v>0.25324675324675322</v>
      </c>
      <c r="P418" s="169">
        <f t="shared" ref="P418:P428" si="159">M418/M$428</f>
        <v>0.25265957446808512</v>
      </c>
      <c r="Q418" s="219"/>
    </row>
    <row r="419" spans="2:17" ht="14" customHeight="1" x14ac:dyDescent="0.25">
      <c r="B419" s="170">
        <v>3</v>
      </c>
      <c r="C419" s="7" t="s">
        <v>102</v>
      </c>
      <c r="D419" s="168">
        <f t="shared" si="152"/>
        <v>3.2</v>
      </c>
      <c r="E419" s="168">
        <f t="shared" si="153"/>
        <v>3.7</v>
      </c>
      <c r="F419" s="169">
        <f t="shared" si="154"/>
        <v>-0.13513513513513509</v>
      </c>
      <c r="G419" s="169">
        <f t="shared" si="156"/>
        <v>0.13333333333333333</v>
      </c>
      <c r="H419" s="169">
        <f t="shared" si="155"/>
        <v>0.1804878048780488</v>
      </c>
      <c r="J419" s="170">
        <v>3</v>
      </c>
      <c r="K419" s="7" t="s">
        <v>102</v>
      </c>
      <c r="L419" s="168">
        <v>6.2</v>
      </c>
      <c r="M419" s="168">
        <v>7</v>
      </c>
      <c r="N419" s="169">
        <f t="shared" si="157"/>
        <v>-0.11428571428571421</v>
      </c>
      <c r="O419" s="169">
        <f t="shared" si="158"/>
        <v>0.13419913419913421</v>
      </c>
      <c r="P419" s="169">
        <f t="shared" si="159"/>
        <v>0.18617021276595744</v>
      </c>
      <c r="Q419" s="219"/>
    </row>
    <row r="420" spans="2:17" ht="14" customHeight="1" x14ac:dyDescent="0.25">
      <c r="B420" s="170">
        <v>4</v>
      </c>
      <c r="C420" s="37" t="s">
        <v>115</v>
      </c>
      <c r="D420" s="168">
        <f t="shared" si="152"/>
        <v>2.7</v>
      </c>
      <c r="E420" s="168">
        <f t="shared" si="153"/>
        <v>1.8</v>
      </c>
      <c r="F420" s="169">
        <f t="shared" si="154"/>
        <v>0.5</v>
      </c>
      <c r="G420" s="169">
        <f t="shared" si="156"/>
        <v>0.11249999999999999</v>
      </c>
      <c r="H420" s="169">
        <f t="shared" si="155"/>
        <v>8.7804878048780496E-2</v>
      </c>
      <c r="J420" s="170">
        <v>4</v>
      </c>
      <c r="K420" s="37" t="s">
        <v>115</v>
      </c>
      <c r="L420" s="168">
        <v>5.2</v>
      </c>
      <c r="M420" s="168">
        <v>3.5</v>
      </c>
      <c r="N420" s="169">
        <f t="shared" si="157"/>
        <v>0.48571428571428577</v>
      </c>
      <c r="O420" s="169">
        <f t="shared" si="158"/>
        <v>0.11255411255411255</v>
      </c>
      <c r="P420" s="169">
        <f t="shared" si="159"/>
        <v>9.3085106382978719E-2</v>
      </c>
      <c r="Q420" s="219"/>
    </row>
    <row r="421" spans="2:17" ht="14" customHeight="1" x14ac:dyDescent="0.25">
      <c r="B421" s="170">
        <v>5</v>
      </c>
      <c r="C421" s="7" t="s">
        <v>25</v>
      </c>
      <c r="D421" s="168">
        <f t="shared" si="152"/>
        <v>2.1</v>
      </c>
      <c r="E421" s="168">
        <f t="shared" si="153"/>
        <v>2.8</v>
      </c>
      <c r="F421" s="169">
        <f t="shared" si="154"/>
        <v>-0.24999999999999989</v>
      </c>
      <c r="G421" s="169">
        <f t="shared" si="156"/>
        <v>8.7499999999999994E-2</v>
      </c>
      <c r="H421" s="169">
        <f t="shared" si="155"/>
        <v>0.13658536585365852</v>
      </c>
      <c r="J421" s="170">
        <v>5</v>
      </c>
      <c r="K421" s="7" t="s">
        <v>25</v>
      </c>
      <c r="L421" s="168">
        <v>4.2</v>
      </c>
      <c r="M421" s="168">
        <v>4.5</v>
      </c>
      <c r="N421" s="169">
        <f t="shared" si="157"/>
        <v>-6.6666666666666652E-2</v>
      </c>
      <c r="O421" s="169">
        <f t="shared" si="158"/>
        <v>9.0909090909090912E-2</v>
      </c>
      <c r="P421" s="169">
        <f t="shared" si="159"/>
        <v>0.11968085106382978</v>
      </c>
      <c r="Q421" s="219"/>
    </row>
    <row r="422" spans="2:17" ht="14" customHeight="1" x14ac:dyDescent="0.25">
      <c r="B422" s="170">
        <v>10</v>
      </c>
      <c r="C422" s="170" t="s">
        <v>69</v>
      </c>
      <c r="D422" s="168">
        <f t="shared" si="152"/>
        <v>0.8</v>
      </c>
      <c r="E422" s="168">
        <f t="shared" si="153"/>
        <v>0.39999999999999997</v>
      </c>
      <c r="F422" s="169">
        <f t="shared" si="154"/>
        <v>1.0000000000000004</v>
      </c>
      <c r="G422" s="169">
        <f t="shared" si="156"/>
        <v>3.3333333333333333E-2</v>
      </c>
      <c r="H422" s="169">
        <f t="shared" si="155"/>
        <v>1.9512195121951219E-2</v>
      </c>
      <c r="J422" s="170">
        <v>10</v>
      </c>
      <c r="K422" s="170" t="s">
        <v>69</v>
      </c>
      <c r="L422" s="168">
        <v>2</v>
      </c>
      <c r="M422" s="168">
        <v>0.7</v>
      </c>
      <c r="N422" s="169">
        <f t="shared" si="157"/>
        <v>1.8571428571428572</v>
      </c>
      <c r="O422" s="169">
        <f t="shared" si="158"/>
        <v>4.3290043290043288E-2</v>
      </c>
      <c r="P422" s="169">
        <f t="shared" si="159"/>
        <v>1.8617021276595744E-2</v>
      </c>
      <c r="Q422" s="219"/>
    </row>
    <row r="423" spans="2:17" ht="14" customHeight="1" x14ac:dyDescent="0.25">
      <c r="B423" s="170">
        <v>6</v>
      </c>
      <c r="C423" s="170" t="s">
        <v>46</v>
      </c>
      <c r="D423" s="168">
        <f t="shared" si="152"/>
        <v>0.5</v>
      </c>
      <c r="E423" s="168">
        <f t="shared" si="153"/>
        <v>0.2</v>
      </c>
      <c r="F423" s="169">
        <f t="shared" si="154"/>
        <v>1.5</v>
      </c>
      <c r="G423" s="169">
        <f t="shared" si="156"/>
        <v>2.0833333333333329E-2</v>
      </c>
      <c r="H423" s="169">
        <f t="shared" si="155"/>
        <v>9.7560975609756097E-3</v>
      </c>
      <c r="J423" s="170">
        <v>6</v>
      </c>
      <c r="K423" s="170" t="s">
        <v>46</v>
      </c>
      <c r="L423" s="168">
        <v>1</v>
      </c>
      <c r="M423" s="168">
        <v>0.4</v>
      </c>
      <c r="N423" s="169">
        <f t="shared" si="157"/>
        <v>1.5</v>
      </c>
      <c r="O423" s="169">
        <f t="shared" si="158"/>
        <v>2.1645021645021644E-2</v>
      </c>
      <c r="P423" s="169">
        <f t="shared" si="159"/>
        <v>1.0638297872340425E-2</v>
      </c>
      <c r="Q423" s="219"/>
    </row>
    <row r="424" spans="2:17" ht="14" customHeight="1" x14ac:dyDescent="0.25">
      <c r="B424" s="170">
        <v>7</v>
      </c>
      <c r="C424" s="170" t="s">
        <v>357</v>
      </c>
      <c r="D424" s="168">
        <f t="shared" si="152"/>
        <v>0.5</v>
      </c>
      <c r="E424" s="168">
        <f t="shared" si="153"/>
        <v>0.19999999999999998</v>
      </c>
      <c r="F424" s="169">
        <f t="shared" si="154"/>
        <v>1.5</v>
      </c>
      <c r="G424" s="169">
        <f t="shared" si="156"/>
        <v>2.0833333333333329E-2</v>
      </c>
      <c r="H424" s="169">
        <f t="shared" si="155"/>
        <v>9.7560975609756097E-3</v>
      </c>
      <c r="J424" s="170">
        <v>7</v>
      </c>
      <c r="K424" s="170" t="s">
        <v>357</v>
      </c>
      <c r="L424" s="168">
        <v>0.9</v>
      </c>
      <c r="M424" s="168">
        <v>0.3</v>
      </c>
      <c r="N424" s="169">
        <f t="shared" si="157"/>
        <v>2</v>
      </c>
      <c r="O424" s="169">
        <f t="shared" si="158"/>
        <v>1.948051948051948E-2</v>
      </c>
      <c r="P424" s="169">
        <f t="shared" si="159"/>
        <v>7.9787234042553185E-3</v>
      </c>
      <c r="Q424" s="219"/>
    </row>
    <row r="425" spans="2:17" ht="14" customHeight="1" x14ac:dyDescent="0.25">
      <c r="B425" s="170">
        <v>8</v>
      </c>
      <c r="C425" s="7" t="s">
        <v>100</v>
      </c>
      <c r="D425" s="168">
        <f t="shared" si="152"/>
        <v>0.5</v>
      </c>
      <c r="E425" s="168">
        <f t="shared" si="153"/>
        <v>0.1</v>
      </c>
      <c r="F425" s="169">
        <f t="shared" si="154"/>
        <v>4</v>
      </c>
      <c r="G425" s="169">
        <f t="shared" si="156"/>
        <v>2.0833333333333329E-2</v>
      </c>
      <c r="H425" s="169">
        <f t="shared" si="155"/>
        <v>4.8780487804878049E-3</v>
      </c>
      <c r="J425" s="170">
        <v>8</v>
      </c>
      <c r="K425" s="7" t="s">
        <v>100</v>
      </c>
      <c r="L425" s="168">
        <v>0.8</v>
      </c>
      <c r="M425" s="168">
        <v>0.1</v>
      </c>
      <c r="N425" s="169">
        <f t="shared" si="157"/>
        <v>7</v>
      </c>
      <c r="O425" s="169">
        <f t="shared" si="158"/>
        <v>1.7316017316017316E-2</v>
      </c>
      <c r="P425" s="169">
        <f t="shared" si="159"/>
        <v>2.6595744680851063E-3</v>
      </c>
      <c r="Q425" s="219"/>
    </row>
    <row r="426" spans="2:17" ht="14" customHeight="1" x14ac:dyDescent="0.25">
      <c r="B426" s="170">
        <v>9</v>
      </c>
      <c r="C426" s="170" t="s">
        <v>28</v>
      </c>
      <c r="D426" s="168">
        <f t="shared" si="152"/>
        <v>0.3</v>
      </c>
      <c r="E426" s="168">
        <f t="shared" si="153"/>
        <v>0.2</v>
      </c>
      <c r="F426" s="169">
        <f t="shared" si="154"/>
        <v>0.49999999999999978</v>
      </c>
      <c r="G426" s="169">
        <f t="shared" si="156"/>
        <v>1.2499999999999997E-2</v>
      </c>
      <c r="H426" s="169">
        <f t="shared" si="155"/>
        <v>9.7560975609756097E-3</v>
      </c>
      <c r="J426" s="170">
        <v>9</v>
      </c>
      <c r="K426" s="170" t="s">
        <v>28</v>
      </c>
      <c r="L426" s="168">
        <v>0.5</v>
      </c>
      <c r="M426" s="168">
        <v>0.4</v>
      </c>
      <c r="N426" s="169">
        <f t="shared" si="157"/>
        <v>0.25</v>
      </c>
      <c r="O426" s="169">
        <f t="shared" si="158"/>
        <v>1.0822510822510822E-2</v>
      </c>
      <c r="P426" s="169">
        <f t="shared" si="159"/>
        <v>1.0638297872340425E-2</v>
      </c>
      <c r="Q426" s="219"/>
    </row>
    <row r="427" spans="2:17" ht="14" customHeight="1" x14ac:dyDescent="0.25">
      <c r="B427" s="340" t="s">
        <v>77</v>
      </c>
      <c r="C427" s="341"/>
      <c r="D427" s="168">
        <f t="shared" si="152"/>
        <v>0.79999999999999993</v>
      </c>
      <c r="E427" s="168">
        <f t="shared" si="153"/>
        <v>0.7</v>
      </c>
      <c r="F427" s="169">
        <f t="shared" si="154"/>
        <v>0.14285714285714279</v>
      </c>
      <c r="G427" s="169">
        <f t="shared" si="156"/>
        <v>3.3333333333333326E-2</v>
      </c>
      <c r="H427" s="169">
        <f t="shared" si="155"/>
        <v>3.414634146341463E-2</v>
      </c>
      <c r="J427" s="340" t="s">
        <v>77</v>
      </c>
      <c r="K427" s="341"/>
      <c r="L427" s="168">
        <v>1.7</v>
      </c>
      <c r="M427" s="168">
        <v>1.5</v>
      </c>
      <c r="N427" s="169">
        <f t="shared" si="157"/>
        <v>0.1333333333333333</v>
      </c>
      <c r="O427" s="169">
        <f t="shared" si="158"/>
        <v>3.6796536796536793E-2</v>
      </c>
      <c r="P427" s="169">
        <f t="shared" si="159"/>
        <v>3.9893617021276591E-2</v>
      </c>
      <c r="Q427" s="219"/>
    </row>
    <row r="428" spans="2:17" ht="14" customHeight="1" x14ac:dyDescent="0.25">
      <c r="B428" s="340" t="s">
        <v>78</v>
      </c>
      <c r="C428" s="341"/>
      <c r="D428" s="168">
        <f t="shared" si="152"/>
        <v>24.000000000000004</v>
      </c>
      <c r="E428" s="168">
        <f t="shared" si="153"/>
        <v>20.5</v>
      </c>
      <c r="F428" s="169">
        <f t="shared" si="154"/>
        <v>0.17073170731707332</v>
      </c>
      <c r="G428" s="169">
        <f t="shared" si="156"/>
        <v>1</v>
      </c>
      <c r="H428" s="169">
        <f t="shared" si="155"/>
        <v>1</v>
      </c>
      <c r="J428" s="340" t="s">
        <v>78</v>
      </c>
      <c r="K428" s="341"/>
      <c r="L428" s="168">
        <v>46.2</v>
      </c>
      <c r="M428" s="168">
        <v>37.6</v>
      </c>
      <c r="N428" s="169">
        <f t="shared" si="157"/>
        <v>0.22872340425531923</v>
      </c>
      <c r="O428" s="169">
        <f t="shared" si="158"/>
        <v>1</v>
      </c>
      <c r="P428" s="169">
        <f t="shared" si="159"/>
        <v>1</v>
      </c>
      <c r="Q428" s="219"/>
    </row>
    <row r="429" spans="2:17" ht="14" customHeight="1" x14ac:dyDescent="0.25">
      <c r="B429" s="10"/>
      <c r="J429" s="10"/>
    </row>
    <row r="430" spans="2:17" ht="14" customHeight="1" x14ac:dyDescent="0.25">
      <c r="B430" s="10" t="s">
        <v>752</v>
      </c>
      <c r="J430" s="10" t="s">
        <v>752</v>
      </c>
    </row>
    <row r="431" spans="2:17" ht="14" customHeight="1" x14ac:dyDescent="0.25">
      <c r="B431" s="37" t="s">
        <v>96</v>
      </c>
      <c r="C431" s="7" t="s">
        <v>123</v>
      </c>
      <c r="D431" s="146">
        <v>45292</v>
      </c>
      <c r="E431" s="146">
        <v>44927</v>
      </c>
      <c r="F431" s="7" t="s">
        <v>34</v>
      </c>
      <c r="G431" s="7" t="s">
        <v>97</v>
      </c>
      <c r="H431" s="7" t="s">
        <v>124</v>
      </c>
      <c r="I431" s="15"/>
      <c r="J431" s="37" t="s">
        <v>96</v>
      </c>
      <c r="K431" s="7" t="s">
        <v>123</v>
      </c>
      <c r="L431" s="146">
        <v>45292</v>
      </c>
      <c r="M431" s="146">
        <v>44927</v>
      </c>
      <c r="N431" s="7" t="s">
        <v>34</v>
      </c>
      <c r="O431" s="7" t="s">
        <v>97</v>
      </c>
      <c r="P431" s="7" t="s">
        <v>124</v>
      </c>
    </row>
    <row r="432" spans="2:17" ht="14" customHeight="1" x14ac:dyDescent="0.25">
      <c r="B432" s="170">
        <v>1</v>
      </c>
      <c r="C432" s="7" t="s">
        <v>98</v>
      </c>
      <c r="D432" s="168">
        <v>5.7</v>
      </c>
      <c r="E432" s="168">
        <v>4.5</v>
      </c>
      <c r="F432" s="169">
        <v>0.28499999999999998</v>
      </c>
      <c r="G432" s="169">
        <v>0.25800000000000001</v>
      </c>
      <c r="H432" s="169">
        <v>0.26200000000000001</v>
      </c>
      <c r="J432" s="170">
        <v>1</v>
      </c>
      <c r="K432" s="7" t="s">
        <v>98</v>
      </c>
      <c r="L432" s="168">
        <v>5.7</v>
      </c>
      <c r="M432" s="168">
        <v>4.5</v>
      </c>
      <c r="N432" s="169">
        <v>0.28499999999999998</v>
      </c>
      <c r="O432" s="169">
        <v>0.25800000000000001</v>
      </c>
      <c r="P432" s="169">
        <v>0.26200000000000001</v>
      </c>
      <c r="Q432" s="219"/>
    </row>
    <row r="433" spans="2:17" ht="14" customHeight="1" x14ac:dyDescent="0.25">
      <c r="B433" s="170">
        <v>2</v>
      </c>
      <c r="C433" s="7" t="s">
        <v>172</v>
      </c>
      <c r="D433" s="168">
        <v>5.4</v>
      </c>
      <c r="E433" s="168">
        <v>4.2</v>
      </c>
      <c r="F433" s="169">
        <v>0.28499999999999998</v>
      </c>
      <c r="G433" s="169">
        <v>0.24399999999999999</v>
      </c>
      <c r="H433" s="169">
        <v>0.247</v>
      </c>
      <c r="J433" s="170">
        <v>2</v>
      </c>
      <c r="K433" s="7" t="s">
        <v>172</v>
      </c>
      <c r="L433" s="168">
        <v>5.4</v>
      </c>
      <c r="M433" s="168">
        <v>4.2</v>
      </c>
      <c r="N433" s="169">
        <v>0.28499999999999998</v>
      </c>
      <c r="O433" s="169">
        <v>0.24399999999999999</v>
      </c>
      <c r="P433" s="169">
        <v>0.247</v>
      </c>
      <c r="Q433" s="219"/>
    </row>
    <row r="434" spans="2:17" ht="14" customHeight="1" x14ac:dyDescent="0.25">
      <c r="B434" s="170">
        <v>3</v>
      </c>
      <c r="C434" s="7" t="s">
        <v>102</v>
      </c>
      <c r="D434" s="168">
        <v>3</v>
      </c>
      <c r="E434" s="168">
        <v>3.3</v>
      </c>
      <c r="F434" s="169">
        <v>-9.5000000000000001E-2</v>
      </c>
      <c r="G434" s="169">
        <v>0.13600000000000001</v>
      </c>
      <c r="H434" s="169">
        <v>0.19500000000000001</v>
      </c>
      <c r="J434" s="170">
        <v>3</v>
      </c>
      <c r="K434" s="7" t="s">
        <v>102</v>
      </c>
      <c r="L434" s="168">
        <v>3</v>
      </c>
      <c r="M434" s="168">
        <v>3.3</v>
      </c>
      <c r="N434" s="169">
        <v>-9.5000000000000001E-2</v>
      </c>
      <c r="O434" s="169">
        <v>0.13600000000000001</v>
      </c>
      <c r="P434" s="169">
        <v>0.19500000000000001</v>
      </c>
      <c r="Q434" s="219"/>
    </row>
    <row r="435" spans="2:17" ht="14" customHeight="1" x14ac:dyDescent="0.25">
      <c r="B435" s="170">
        <v>4</v>
      </c>
      <c r="C435" s="37" t="s">
        <v>115</v>
      </c>
      <c r="D435" s="168">
        <v>2.5</v>
      </c>
      <c r="E435" s="168">
        <v>1.7</v>
      </c>
      <c r="F435" s="169">
        <v>0.442</v>
      </c>
      <c r="G435" s="169">
        <v>0.111</v>
      </c>
      <c r="H435" s="169">
        <v>0.1</v>
      </c>
      <c r="J435" s="170">
        <v>4</v>
      </c>
      <c r="K435" s="37" t="s">
        <v>115</v>
      </c>
      <c r="L435" s="168">
        <v>2.5</v>
      </c>
      <c r="M435" s="168">
        <v>1.7</v>
      </c>
      <c r="N435" s="169">
        <v>0.442</v>
      </c>
      <c r="O435" s="169">
        <v>0.111</v>
      </c>
      <c r="P435" s="169">
        <v>0.1</v>
      </c>
      <c r="Q435" s="219"/>
    </row>
    <row r="436" spans="2:17" ht="14" customHeight="1" x14ac:dyDescent="0.25">
      <c r="B436" s="170">
        <v>5</v>
      </c>
      <c r="C436" s="7" t="s">
        <v>25</v>
      </c>
      <c r="D436" s="168">
        <v>2.1</v>
      </c>
      <c r="E436" s="168">
        <v>1.7</v>
      </c>
      <c r="F436" s="169">
        <v>0.19500000000000001</v>
      </c>
      <c r="G436" s="169">
        <v>9.1999999999999998E-2</v>
      </c>
      <c r="H436" s="169">
        <v>0.10100000000000001</v>
      </c>
      <c r="J436" s="170">
        <v>5</v>
      </c>
      <c r="K436" s="7" t="s">
        <v>25</v>
      </c>
      <c r="L436" s="168">
        <v>2.1</v>
      </c>
      <c r="M436" s="168">
        <v>1.7</v>
      </c>
      <c r="N436" s="169">
        <v>0.19500000000000001</v>
      </c>
      <c r="O436" s="169">
        <v>9.1999999999999998E-2</v>
      </c>
      <c r="P436" s="169">
        <v>0.10100000000000001</v>
      </c>
      <c r="Q436" s="219"/>
    </row>
    <row r="437" spans="2:17" ht="14" customHeight="1" x14ac:dyDescent="0.25">
      <c r="B437" s="170">
        <v>10</v>
      </c>
      <c r="C437" s="170" t="s">
        <v>69</v>
      </c>
      <c r="D437" s="168">
        <v>1.2</v>
      </c>
      <c r="E437" s="168">
        <v>0.3</v>
      </c>
      <c r="F437" s="169">
        <v>2.617</v>
      </c>
      <c r="G437" s="169">
        <v>5.1999999999999998E-2</v>
      </c>
      <c r="H437" s="169">
        <v>1.9E-2</v>
      </c>
      <c r="J437" s="170">
        <v>10</v>
      </c>
      <c r="K437" s="170" t="s">
        <v>69</v>
      </c>
      <c r="L437" s="168">
        <v>1.2</v>
      </c>
      <c r="M437" s="168">
        <v>0.3</v>
      </c>
      <c r="N437" s="169">
        <v>2.617</v>
      </c>
      <c r="O437" s="169">
        <v>5.1999999999999998E-2</v>
      </c>
      <c r="P437" s="169">
        <v>1.9E-2</v>
      </c>
      <c r="Q437" s="219"/>
    </row>
    <row r="438" spans="2:17" ht="14" customHeight="1" x14ac:dyDescent="0.25">
      <c r="B438" s="170">
        <v>6</v>
      </c>
      <c r="C438" s="170" t="s">
        <v>46</v>
      </c>
      <c r="D438" s="168">
        <v>0.5</v>
      </c>
      <c r="E438" s="168">
        <v>0.2</v>
      </c>
      <c r="F438" s="169">
        <v>1.5029999999999999</v>
      </c>
      <c r="G438" s="169">
        <v>2.1999999999999999E-2</v>
      </c>
      <c r="H438" s="169">
        <v>1.0999999999999999E-2</v>
      </c>
      <c r="J438" s="170">
        <v>6</v>
      </c>
      <c r="K438" s="170" t="s">
        <v>46</v>
      </c>
      <c r="L438" s="168">
        <v>0.5</v>
      </c>
      <c r="M438" s="168">
        <v>0.2</v>
      </c>
      <c r="N438" s="169">
        <v>1.5029999999999999</v>
      </c>
      <c r="O438" s="169">
        <v>2.1999999999999999E-2</v>
      </c>
      <c r="P438" s="169">
        <v>1.0999999999999999E-2</v>
      </c>
      <c r="Q438" s="219"/>
    </row>
    <row r="439" spans="2:17" ht="14" customHeight="1" x14ac:dyDescent="0.25">
      <c r="B439" s="170">
        <v>7</v>
      </c>
      <c r="C439" s="170" t="s">
        <v>357</v>
      </c>
      <c r="D439" s="168">
        <v>0.4</v>
      </c>
      <c r="E439" s="168">
        <v>1</v>
      </c>
      <c r="F439" s="169">
        <v>2.4750000000000001</v>
      </c>
      <c r="G439" s="169">
        <v>0.02</v>
      </c>
      <c r="H439" s="169">
        <v>7.0000000000000001E-3</v>
      </c>
      <c r="J439" s="170">
        <v>7</v>
      </c>
      <c r="K439" s="170" t="s">
        <v>357</v>
      </c>
      <c r="L439" s="168">
        <v>0.4</v>
      </c>
      <c r="M439" s="168">
        <v>0.1</v>
      </c>
      <c r="N439" s="169">
        <v>2.4750000000000001</v>
      </c>
      <c r="O439" s="169">
        <v>0.02</v>
      </c>
      <c r="P439" s="169">
        <v>7.0000000000000001E-3</v>
      </c>
      <c r="Q439" s="219"/>
    </row>
    <row r="440" spans="2:17" ht="14" customHeight="1" x14ac:dyDescent="0.25">
      <c r="B440" s="170">
        <v>8</v>
      </c>
      <c r="C440" s="7" t="s">
        <v>100</v>
      </c>
      <c r="D440" s="168">
        <v>0.3</v>
      </c>
      <c r="E440" s="168">
        <v>0</v>
      </c>
      <c r="F440" s="169">
        <v>5.9429999999999996</v>
      </c>
      <c r="G440" s="169">
        <v>1.2E-2</v>
      </c>
      <c r="H440" s="169">
        <v>2E-3</v>
      </c>
      <c r="J440" s="170">
        <v>8</v>
      </c>
      <c r="K440" s="7" t="s">
        <v>100</v>
      </c>
      <c r="L440" s="168">
        <v>0.3</v>
      </c>
      <c r="M440" s="168">
        <v>0</v>
      </c>
      <c r="N440" s="169">
        <v>5.9429999999999996</v>
      </c>
      <c r="O440" s="169">
        <v>1.2E-2</v>
      </c>
      <c r="P440" s="169">
        <v>2E-3</v>
      </c>
      <c r="Q440" s="219"/>
    </row>
    <row r="441" spans="2:17" ht="14" customHeight="1" x14ac:dyDescent="0.25">
      <c r="B441" s="170">
        <v>9</v>
      </c>
      <c r="C441" s="170" t="s">
        <v>28</v>
      </c>
      <c r="D441" s="168">
        <v>0.2</v>
      </c>
      <c r="E441" s="168">
        <v>0.2</v>
      </c>
      <c r="F441" s="169">
        <v>0.34</v>
      </c>
      <c r="G441" s="169">
        <v>1.0999999999999999E-2</v>
      </c>
      <c r="H441" s="169">
        <v>1.0999999999999999E-2</v>
      </c>
      <c r="J441" s="170">
        <v>9</v>
      </c>
      <c r="K441" s="170" t="s">
        <v>28</v>
      </c>
      <c r="L441" s="168">
        <v>0.2</v>
      </c>
      <c r="M441" s="168">
        <v>0.2</v>
      </c>
      <c r="N441" s="169">
        <v>0.34</v>
      </c>
      <c r="O441" s="169">
        <v>1.0999999999999999E-2</v>
      </c>
      <c r="P441" s="169">
        <v>1.0999999999999999E-2</v>
      </c>
      <c r="Q441" s="219"/>
    </row>
    <row r="442" spans="2:17" ht="14" customHeight="1" x14ac:dyDescent="0.25">
      <c r="B442" s="340" t="s">
        <v>77</v>
      </c>
      <c r="C442" s="341"/>
      <c r="D442" s="168">
        <v>0.9</v>
      </c>
      <c r="E442" s="168">
        <v>0.8</v>
      </c>
      <c r="F442" s="169">
        <v>0.21099999999999999</v>
      </c>
      <c r="G442" s="169">
        <v>4.2000000000000003E-2</v>
      </c>
      <c r="H442" s="169">
        <v>4.4999999999999998E-2</v>
      </c>
      <c r="J442" s="340" t="s">
        <v>77</v>
      </c>
      <c r="K442" s="341"/>
      <c r="L442" s="168">
        <v>0.9</v>
      </c>
      <c r="M442" s="168">
        <v>0.8</v>
      </c>
      <c r="N442" s="169">
        <v>0.21099999999999999</v>
      </c>
      <c r="O442" s="169">
        <v>4.2000000000000003E-2</v>
      </c>
      <c r="P442" s="169">
        <v>4.4999999999999998E-2</v>
      </c>
      <c r="Q442" s="219"/>
    </row>
    <row r="443" spans="2:17" ht="14" customHeight="1" x14ac:dyDescent="0.25">
      <c r="B443" s="340" t="s">
        <v>78</v>
      </c>
      <c r="C443" s="341"/>
      <c r="D443" s="168">
        <v>22.2</v>
      </c>
      <c r="E443" s="168">
        <v>17.100000000000001</v>
      </c>
      <c r="F443" s="169">
        <v>0.30099999999999999</v>
      </c>
      <c r="G443" s="169">
        <v>1</v>
      </c>
      <c r="H443" s="169">
        <f>E443/E$458</f>
        <v>0.51975683890577506</v>
      </c>
      <c r="J443" s="340" t="s">
        <v>78</v>
      </c>
      <c r="K443" s="341"/>
      <c r="L443" s="168">
        <v>22.2</v>
      </c>
      <c r="M443" s="168">
        <v>17.100000000000001</v>
      </c>
      <c r="N443" s="169">
        <v>0.30099999999999999</v>
      </c>
      <c r="O443" s="169">
        <v>1</v>
      </c>
      <c r="P443" s="169">
        <f>M443/M$458</f>
        <v>7.6681614349775787E-2</v>
      </c>
      <c r="Q443" s="219"/>
    </row>
    <row r="444" spans="2:17" ht="14" customHeight="1" x14ac:dyDescent="0.25">
      <c r="B444" s="10"/>
      <c r="J444" s="10"/>
    </row>
    <row r="445" spans="2:17" ht="14" customHeight="1" x14ac:dyDescent="0.25">
      <c r="B445" s="10" t="s">
        <v>753</v>
      </c>
      <c r="J445" s="10" t="s">
        <v>754</v>
      </c>
    </row>
    <row r="446" spans="2:17" ht="14" customHeight="1" x14ac:dyDescent="0.25">
      <c r="B446" s="37" t="s">
        <v>96</v>
      </c>
      <c r="C446" s="7" t="s">
        <v>123</v>
      </c>
      <c r="D446" s="146">
        <v>45261</v>
      </c>
      <c r="E446" s="146">
        <v>44866</v>
      </c>
      <c r="F446" s="7" t="s">
        <v>34</v>
      </c>
      <c r="G446" s="7" t="s">
        <v>124</v>
      </c>
      <c r="H446" s="7" t="s">
        <v>176</v>
      </c>
      <c r="I446" s="15"/>
      <c r="J446" s="37" t="s">
        <v>96</v>
      </c>
      <c r="K446" s="7" t="s">
        <v>123</v>
      </c>
      <c r="L446" s="146" t="s">
        <v>177</v>
      </c>
      <c r="M446" s="146" t="s">
        <v>178</v>
      </c>
      <c r="N446" s="7" t="s">
        <v>34</v>
      </c>
      <c r="O446" s="7" t="s">
        <v>124</v>
      </c>
      <c r="P446" s="7" t="s">
        <v>176</v>
      </c>
    </row>
    <row r="447" spans="2:17" ht="14" customHeight="1" x14ac:dyDescent="0.25">
      <c r="B447" s="170">
        <v>1</v>
      </c>
      <c r="C447" s="7" t="s">
        <v>172</v>
      </c>
      <c r="D447" s="168">
        <f t="shared" ref="D447:D458" si="160">L447-L462</f>
        <v>10.099999999999994</v>
      </c>
      <c r="E447" s="168">
        <f t="shared" ref="E447:E458" si="161">M447-M462</f>
        <v>11.300000000000004</v>
      </c>
      <c r="F447" s="169">
        <f t="shared" ref="F447:F458" si="162">D447/E447-1</f>
        <v>-0.10619469026548756</v>
      </c>
      <c r="G447" s="169">
        <f>D447/$D$458</f>
        <v>0.27671232876712315</v>
      </c>
      <c r="H447" s="169">
        <f>E447/E$458</f>
        <v>0.34346504559270524</v>
      </c>
      <c r="J447" s="170">
        <v>1</v>
      </c>
      <c r="K447" s="7" t="s">
        <v>172</v>
      </c>
      <c r="L447" s="168">
        <v>88.6</v>
      </c>
      <c r="M447" s="168">
        <v>66.7</v>
      </c>
      <c r="N447" s="169">
        <v>0.32900000000000001</v>
      </c>
      <c r="O447" s="169">
        <v>0.27800000000000002</v>
      </c>
      <c r="P447" s="169">
        <f>M447/M$458</f>
        <v>0.29910313901345292</v>
      </c>
      <c r="Q447" s="219"/>
    </row>
    <row r="448" spans="2:17" ht="14" customHeight="1" x14ac:dyDescent="0.25">
      <c r="B448" s="170">
        <v>2</v>
      </c>
      <c r="C448" s="7" t="s">
        <v>98</v>
      </c>
      <c r="D448" s="168">
        <f t="shared" si="160"/>
        <v>9.3999999999999915</v>
      </c>
      <c r="E448" s="168">
        <f t="shared" si="161"/>
        <v>8.8999999999999986</v>
      </c>
      <c r="F448" s="169">
        <f t="shared" si="162"/>
        <v>5.6179775280898125E-2</v>
      </c>
      <c r="G448" s="169">
        <f t="shared" ref="G448:G458" si="163">D448/$D$458</f>
        <v>0.25753424657534224</v>
      </c>
      <c r="H448" s="169">
        <f t="shared" ref="H448:H458" si="164">E448/E$458</f>
        <v>0.27051671732522786</v>
      </c>
      <c r="J448" s="170">
        <v>2</v>
      </c>
      <c r="K448" s="7" t="s">
        <v>98</v>
      </c>
      <c r="L448" s="168">
        <v>87.8</v>
      </c>
      <c r="M448" s="168">
        <v>50.9</v>
      </c>
      <c r="N448" s="169">
        <f t="shared" ref="N448:N450" si="165">(L448-M448)/M448</f>
        <v>0.72495088408644404</v>
      </c>
      <c r="O448" s="169">
        <f t="shared" ref="O448:O457" si="166">L448/L$458</f>
        <v>0.27489041953663118</v>
      </c>
      <c r="P448" s="169">
        <f t="shared" ref="P448:P457" si="167">M448/M$458</f>
        <v>0.22825112107623319</v>
      </c>
      <c r="Q448" s="219"/>
    </row>
    <row r="449" spans="2:17" ht="14" customHeight="1" x14ac:dyDescent="0.25">
      <c r="B449" s="170">
        <v>3</v>
      </c>
      <c r="C449" s="7" t="s">
        <v>102</v>
      </c>
      <c r="D449" s="168">
        <f t="shared" si="160"/>
        <v>4.5</v>
      </c>
      <c r="E449" s="168">
        <f t="shared" si="161"/>
        <v>4.0000000000000036</v>
      </c>
      <c r="F449" s="169">
        <f t="shared" si="162"/>
        <v>0.12499999999999911</v>
      </c>
      <c r="G449" s="169">
        <f t="shared" si="163"/>
        <v>0.12328767123287671</v>
      </c>
      <c r="H449" s="169">
        <f t="shared" si="164"/>
        <v>0.12158054711246209</v>
      </c>
      <c r="J449" s="170">
        <v>3</v>
      </c>
      <c r="K449" s="7" t="s">
        <v>102</v>
      </c>
      <c r="L449" s="168">
        <v>44.6</v>
      </c>
      <c r="M449" s="168">
        <v>35.200000000000003</v>
      </c>
      <c r="N449" s="169">
        <v>0.28299999999999997</v>
      </c>
      <c r="O449" s="169">
        <f t="shared" si="166"/>
        <v>0.13963681903569194</v>
      </c>
      <c r="P449" s="169">
        <f t="shared" si="167"/>
        <v>0.15784753363228701</v>
      </c>
      <c r="Q449" s="219"/>
    </row>
    <row r="450" spans="2:17" ht="14" customHeight="1" x14ac:dyDescent="0.25">
      <c r="B450" s="170">
        <v>4</v>
      </c>
      <c r="C450" s="37" t="s">
        <v>25</v>
      </c>
      <c r="D450" s="168">
        <f t="shared" si="160"/>
        <v>3.4000000000000021</v>
      </c>
      <c r="E450" s="168">
        <f t="shared" si="161"/>
        <v>2.8000000000000007</v>
      </c>
      <c r="F450" s="169">
        <f t="shared" si="162"/>
        <v>0.21428571428571463</v>
      </c>
      <c r="G450" s="169">
        <f t="shared" si="163"/>
        <v>9.3150684931506911E-2</v>
      </c>
      <c r="H450" s="169">
        <f t="shared" si="164"/>
        <v>8.5106382978723416E-2</v>
      </c>
      <c r="J450" s="170">
        <v>4</v>
      </c>
      <c r="K450" s="37" t="s">
        <v>25</v>
      </c>
      <c r="L450" s="168">
        <v>34.1</v>
      </c>
      <c r="M450" s="168">
        <v>29.8</v>
      </c>
      <c r="N450" s="169">
        <f t="shared" si="165"/>
        <v>0.14429530201342283</v>
      </c>
      <c r="O450" s="169">
        <f t="shared" si="166"/>
        <v>0.10676268002504698</v>
      </c>
      <c r="P450" s="169">
        <f t="shared" si="167"/>
        <v>0.13363228699551569</v>
      </c>
      <c r="Q450" s="219"/>
    </row>
    <row r="451" spans="2:17" ht="14" customHeight="1" x14ac:dyDescent="0.25">
      <c r="B451" s="170">
        <v>5</v>
      </c>
      <c r="C451" s="7" t="s">
        <v>173</v>
      </c>
      <c r="D451" s="168">
        <f t="shared" si="160"/>
        <v>4.2999999999999972</v>
      </c>
      <c r="E451" s="168">
        <f t="shared" si="161"/>
        <v>3.5</v>
      </c>
      <c r="F451" s="169">
        <f t="shared" si="162"/>
        <v>0.22857142857142776</v>
      </c>
      <c r="G451" s="169">
        <f t="shared" si="163"/>
        <v>0.11780821917808211</v>
      </c>
      <c r="H451" s="169">
        <f t="shared" si="164"/>
        <v>0.10638297872340424</v>
      </c>
      <c r="J451" s="170">
        <v>5</v>
      </c>
      <c r="K451" s="7" t="s">
        <v>173</v>
      </c>
      <c r="L451" s="168">
        <v>32.4</v>
      </c>
      <c r="M451" s="168">
        <v>23.6</v>
      </c>
      <c r="N451" s="169">
        <v>0.372</v>
      </c>
      <c r="O451" s="169">
        <v>0.10199999999999999</v>
      </c>
      <c r="P451" s="169">
        <f t="shared" si="167"/>
        <v>0.10582959641255606</v>
      </c>
      <c r="Q451" s="219"/>
    </row>
    <row r="452" spans="2:17" ht="14" customHeight="1" x14ac:dyDescent="0.25">
      <c r="B452" s="170">
        <v>10</v>
      </c>
      <c r="C452" s="170" t="s">
        <v>69</v>
      </c>
      <c r="D452" s="168">
        <f t="shared" si="160"/>
        <v>1.5</v>
      </c>
      <c r="E452" s="168">
        <f t="shared" si="161"/>
        <v>0.39999999999999991</v>
      </c>
      <c r="F452" s="169">
        <f t="shared" si="162"/>
        <v>2.7500000000000009</v>
      </c>
      <c r="G452" s="169">
        <f t="shared" si="163"/>
        <v>4.1095890410958902E-2</v>
      </c>
      <c r="H452" s="169">
        <f t="shared" si="164"/>
        <v>1.2158054711246195E-2</v>
      </c>
      <c r="J452" s="170">
        <v>6</v>
      </c>
      <c r="K452" s="170" t="s">
        <v>69</v>
      </c>
      <c r="L452" s="168">
        <v>6.8</v>
      </c>
      <c r="M452" s="168">
        <v>1.4</v>
      </c>
      <c r="N452" s="169">
        <v>3.948</v>
      </c>
      <c r="O452" s="169">
        <f t="shared" si="166"/>
        <v>2.1289918597370072E-2</v>
      </c>
      <c r="P452" s="169">
        <f t="shared" si="167"/>
        <v>6.2780269058295961E-3</v>
      </c>
      <c r="Q452" s="219"/>
    </row>
    <row r="453" spans="2:17" ht="14" customHeight="1" x14ac:dyDescent="0.25">
      <c r="B453" s="170">
        <v>6</v>
      </c>
      <c r="C453" s="170" t="s">
        <v>357</v>
      </c>
      <c r="D453" s="168">
        <f t="shared" si="160"/>
        <v>0.79999999999999982</v>
      </c>
      <c r="E453" s="168">
        <f t="shared" si="161"/>
        <v>0.39999999999999991</v>
      </c>
      <c r="F453" s="169">
        <f t="shared" si="162"/>
        <v>1</v>
      </c>
      <c r="G453" s="169">
        <f t="shared" si="163"/>
        <v>2.1917808219178079E-2</v>
      </c>
      <c r="H453" s="169">
        <f t="shared" si="164"/>
        <v>1.2158054711246195E-2</v>
      </c>
      <c r="J453" s="170">
        <v>7</v>
      </c>
      <c r="K453" s="7" t="s">
        <v>185</v>
      </c>
      <c r="L453" s="168">
        <v>5.2</v>
      </c>
      <c r="M453" s="168">
        <v>2</v>
      </c>
      <c r="N453" s="169">
        <v>1.633</v>
      </c>
      <c r="O453" s="169">
        <f t="shared" si="166"/>
        <v>1.6280525986224172E-2</v>
      </c>
      <c r="P453" s="169">
        <f t="shared" si="167"/>
        <v>8.9686098654708519E-3</v>
      </c>
      <c r="Q453" s="219"/>
    </row>
    <row r="454" spans="2:17" ht="14" customHeight="1" x14ac:dyDescent="0.25">
      <c r="B454" s="170">
        <v>7</v>
      </c>
      <c r="C454" s="170" t="s">
        <v>46</v>
      </c>
      <c r="D454" s="168">
        <f t="shared" si="160"/>
        <v>0.5</v>
      </c>
      <c r="E454" s="168">
        <f t="shared" si="161"/>
        <v>0.30000000000000004</v>
      </c>
      <c r="F454" s="169">
        <f t="shared" si="162"/>
        <v>0.66666666666666652</v>
      </c>
      <c r="G454" s="169">
        <f t="shared" si="163"/>
        <v>1.3698630136986301E-2</v>
      </c>
      <c r="H454" s="169">
        <f t="shared" si="164"/>
        <v>9.11854103343465E-3</v>
      </c>
      <c r="J454" s="170">
        <v>8</v>
      </c>
      <c r="K454" s="7" t="s">
        <v>46</v>
      </c>
      <c r="L454" s="168">
        <v>4.7</v>
      </c>
      <c r="M454" s="168">
        <v>1.8</v>
      </c>
      <c r="N454" s="169">
        <v>1.6379999999999999</v>
      </c>
      <c r="O454" s="169">
        <f t="shared" si="166"/>
        <v>1.4715090795241078E-2</v>
      </c>
      <c r="P454" s="169">
        <f t="shared" si="167"/>
        <v>8.0717488789237672E-3</v>
      </c>
      <c r="Q454" s="219"/>
    </row>
    <row r="455" spans="2:17" ht="14" customHeight="1" x14ac:dyDescent="0.25">
      <c r="B455" s="170">
        <v>8</v>
      </c>
      <c r="C455" s="7" t="s">
        <v>264</v>
      </c>
      <c r="D455" s="168">
        <f t="shared" si="160"/>
        <v>0.30000000000000027</v>
      </c>
      <c r="E455" s="168">
        <f t="shared" si="161"/>
        <v>0.5</v>
      </c>
      <c r="F455" s="169">
        <f t="shared" si="162"/>
        <v>-0.39999999999999947</v>
      </c>
      <c r="G455" s="169">
        <f t="shared" si="163"/>
        <v>8.2191780821917887E-3</v>
      </c>
      <c r="H455" s="169">
        <f t="shared" si="164"/>
        <v>1.5197568389057748E-2</v>
      </c>
      <c r="J455" s="170">
        <v>9</v>
      </c>
      <c r="K455" s="7" t="s">
        <v>264</v>
      </c>
      <c r="L455" s="168">
        <v>3.6</v>
      </c>
      <c r="M455" s="168">
        <v>4.2</v>
      </c>
      <c r="N455" s="169">
        <v>-0.152</v>
      </c>
      <c r="O455" s="169">
        <f t="shared" si="166"/>
        <v>1.1271133375078273E-2</v>
      </c>
      <c r="P455" s="169">
        <f t="shared" si="167"/>
        <v>1.883408071748879E-2</v>
      </c>
      <c r="Q455" s="219"/>
    </row>
    <row r="456" spans="2:17" ht="14" customHeight="1" x14ac:dyDescent="0.25">
      <c r="B456" s="170">
        <v>9</v>
      </c>
      <c r="C456" s="170" t="s">
        <v>28</v>
      </c>
      <c r="D456" s="168">
        <f t="shared" si="160"/>
        <v>0.29999999999999982</v>
      </c>
      <c r="E456" s="168">
        <f t="shared" si="161"/>
        <v>0.19999999999999996</v>
      </c>
      <c r="F456" s="169">
        <f t="shared" si="162"/>
        <v>0.49999999999999933</v>
      </c>
      <c r="G456" s="169">
        <f t="shared" si="163"/>
        <v>8.2191780821917765E-3</v>
      </c>
      <c r="H456" s="169">
        <f t="shared" si="164"/>
        <v>6.0790273556230977E-3</v>
      </c>
      <c r="J456" s="170">
        <v>10</v>
      </c>
      <c r="K456" s="170" t="s">
        <v>28</v>
      </c>
      <c r="L456" s="168">
        <v>2.8</v>
      </c>
      <c r="M456" s="168">
        <v>2</v>
      </c>
      <c r="N456" s="169">
        <v>0.38900000000000001</v>
      </c>
      <c r="O456" s="169">
        <f t="shared" si="166"/>
        <v>8.7664370695053218E-3</v>
      </c>
      <c r="P456" s="169">
        <f t="shared" si="167"/>
        <v>8.9686098654708519E-3</v>
      </c>
      <c r="Q456" s="219"/>
    </row>
    <row r="457" spans="2:17" ht="14" customHeight="1" x14ac:dyDescent="0.25">
      <c r="B457" s="340" t="s">
        <v>77</v>
      </c>
      <c r="C457" s="341"/>
      <c r="D457" s="168">
        <f t="shared" si="160"/>
        <v>1.1999999999999993</v>
      </c>
      <c r="E457" s="168">
        <f t="shared" si="161"/>
        <v>0.70000000000000018</v>
      </c>
      <c r="F457" s="169">
        <f t="shared" si="162"/>
        <v>0.71428571428571286</v>
      </c>
      <c r="G457" s="169">
        <f t="shared" si="163"/>
        <v>3.2876712328767106E-2</v>
      </c>
      <c r="H457" s="169">
        <f t="shared" si="164"/>
        <v>2.1276595744680854E-2</v>
      </c>
      <c r="J457" s="342" t="s">
        <v>77</v>
      </c>
      <c r="K457" s="342"/>
      <c r="L457" s="168">
        <v>8.6999999999999993</v>
      </c>
      <c r="M457" s="168">
        <v>5.4</v>
      </c>
      <c r="N457" s="169">
        <v>0.60699999999999998</v>
      </c>
      <c r="O457" s="169">
        <f t="shared" si="166"/>
        <v>2.7238572323105822E-2</v>
      </c>
      <c r="P457" s="169">
        <f t="shared" si="167"/>
        <v>2.4215246636771302E-2</v>
      </c>
      <c r="Q457" s="219"/>
    </row>
    <row r="458" spans="2:17" ht="14" customHeight="1" x14ac:dyDescent="0.25">
      <c r="B458" s="340" t="s">
        <v>78</v>
      </c>
      <c r="C458" s="341"/>
      <c r="D458" s="168">
        <f t="shared" si="160"/>
        <v>36.5</v>
      </c>
      <c r="E458" s="168">
        <f t="shared" si="161"/>
        <v>32.900000000000006</v>
      </c>
      <c r="F458" s="169">
        <f t="shared" si="162"/>
        <v>0.10942249240121571</v>
      </c>
      <c r="G458" s="169">
        <f t="shared" si="163"/>
        <v>1</v>
      </c>
      <c r="H458" s="169">
        <f t="shared" si="164"/>
        <v>1</v>
      </c>
      <c r="J458" s="342" t="s">
        <v>78</v>
      </c>
      <c r="K458" s="342"/>
      <c r="L458" s="168">
        <v>319.39999999999998</v>
      </c>
      <c r="M458" s="168">
        <v>223</v>
      </c>
      <c r="N458" s="169">
        <v>0.432</v>
      </c>
      <c r="O458" s="169">
        <v>1</v>
      </c>
      <c r="P458" s="169">
        <v>1</v>
      </c>
      <c r="Q458" s="219"/>
    </row>
    <row r="459" spans="2:17" ht="14" customHeight="1" x14ac:dyDescent="0.25">
      <c r="B459" s="10"/>
      <c r="J459" s="10"/>
    </row>
    <row r="460" spans="2:17" ht="14" customHeight="1" x14ac:dyDescent="0.25">
      <c r="B460" s="10" t="s">
        <v>755</v>
      </c>
      <c r="J460" s="10" t="s">
        <v>756</v>
      </c>
    </row>
    <row r="461" spans="2:17" ht="14" customHeight="1" x14ac:dyDescent="0.25">
      <c r="B461" s="37" t="s">
        <v>96</v>
      </c>
      <c r="C461" s="7" t="s">
        <v>123</v>
      </c>
      <c r="D461" s="146">
        <v>45231</v>
      </c>
      <c r="E461" s="146">
        <v>44866</v>
      </c>
      <c r="F461" s="7" t="s">
        <v>34</v>
      </c>
      <c r="G461" s="7" t="s">
        <v>124</v>
      </c>
      <c r="H461" s="7" t="s">
        <v>176</v>
      </c>
      <c r="I461" s="15"/>
      <c r="J461" s="37" t="s">
        <v>96</v>
      </c>
      <c r="K461" s="7" t="s">
        <v>123</v>
      </c>
      <c r="L461" s="146" t="s">
        <v>134</v>
      </c>
      <c r="M461" s="146" t="s">
        <v>184</v>
      </c>
      <c r="N461" s="7" t="s">
        <v>34</v>
      </c>
      <c r="O461" s="7" t="s">
        <v>124</v>
      </c>
      <c r="P461" s="7" t="s">
        <v>176</v>
      </c>
    </row>
    <row r="462" spans="2:17" ht="14" customHeight="1" x14ac:dyDescent="0.25">
      <c r="B462" s="170">
        <v>1</v>
      </c>
      <c r="C462" s="7" t="s">
        <v>172</v>
      </c>
      <c r="D462" s="168">
        <f t="shared" ref="D462:E467" si="168">L462-L477</f>
        <v>8</v>
      </c>
      <c r="E462" s="168">
        <f t="shared" si="168"/>
        <v>7.3999999999999986</v>
      </c>
      <c r="F462" s="169">
        <f t="shared" ref="F462:F473" si="169">D462/E462-1</f>
        <v>8.1081081081081363E-2</v>
      </c>
      <c r="G462" s="169">
        <f t="shared" ref="G462:G473" si="170">D462/$D$488</f>
        <v>0.30188679245283018</v>
      </c>
      <c r="H462" s="169">
        <f t="shared" ref="H462:H473" si="171">E462/$E$488</f>
        <v>0.38341968911917068</v>
      </c>
      <c r="J462" s="170">
        <v>1</v>
      </c>
      <c r="K462" s="7" t="s">
        <v>172</v>
      </c>
      <c r="L462" s="168">
        <v>78.5</v>
      </c>
      <c r="M462" s="168">
        <v>55.4</v>
      </c>
      <c r="N462" s="169">
        <f>(L462-M462)/M462</f>
        <v>0.4169675090252708</v>
      </c>
      <c r="O462" s="169">
        <f>L462/L$473</f>
        <v>0.27748320961470485</v>
      </c>
      <c r="P462" s="169">
        <v>0.29142556549184601</v>
      </c>
      <c r="Q462" s="219"/>
    </row>
    <row r="463" spans="2:17" ht="14" customHeight="1" x14ac:dyDescent="0.25">
      <c r="B463" s="170">
        <v>2</v>
      </c>
      <c r="C463" s="7" t="s">
        <v>98</v>
      </c>
      <c r="D463" s="168">
        <f t="shared" si="168"/>
        <v>8.1000000000000085</v>
      </c>
      <c r="E463" s="168">
        <f t="shared" si="168"/>
        <v>5.7999999999999972</v>
      </c>
      <c r="F463" s="169">
        <f t="shared" si="169"/>
        <v>0.39655172413793327</v>
      </c>
      <c r="G463" s="169">
        <f t="shared" si="170"/>
        <v>0.30566037735849089</v>
      </c>
      <c r="H463" s="169">
        <f t="shared" si="171"/>
        <v>0.30051813471502559</v>
      </c>
      <c r="J463" s="170">
        <v>2</v>
      </c>
      <c r="K463" s="7" t="s">
        <v>98</v>
      </c>
      <c r="L463" s="168">
        <v>78.400000000000006</v>
      </c>
      <c r="M463" s="168">
        <v>42</v>
      </c>
      <c r="N463" s="169">
        <f>(L463-M463)/M463</f>
        <v>0.86666666666666681</v>
      </c>
      <c r="O463" s="169">
        <f t="shared" ref="O463:O471" si="172">L463/L$473</f>
        <v>0.27712972781901735</v>
      </c>
      <c r="P463" s="169">
        <v>0.22093634928984701</v>
      </c>
      <c r="Q463" s="219"/>
    </row>
    <row r="464" spans="2:17" ht="14" customHeight="1" x14ac:dyDescent="0.25">
      <c r="B464" s="170">
        <v>3</v>
      </c>
      <c r="C464" s="7" t="s">
        <v>102</v>
      </c>
      <c r="D464" s="168">
        <f t="shared" si="168"/>
        <v>3</v>
      </c>
      <c r="E464" s="168">
        <f t="shared" si="168"/>
        <v>3.0999999999999979</v>
      </c>
      <c r="F464" s="169">
        <f t="shared" si="169"/>
        <v>-3.2258064516128337E-2</v>
      </c>
      <c r="G464" s="169">
        <f t="shared" si="170"/>
        <v>0.11320754716981132</v>
      </c>
      <c r="H464" s="169">
        <f t="shared" si="171"/>
        <v>0.16062176165803088</v>
      </c>
      <c r="J464" s="170">
        <v>3</v>
      </c>
      <c r="K464" s="7" t="s">
        <v>102</v>
      </c>
      <c r="L464" s="168">
        <v>40.1</v>
      </c>
      <c r="M464" s="168">
        <v>31.2</v>
      </c>
      <c r="N464" s="169">
        <v>0.28299999999999997</v>
      </c>
      <c r="O464" s="169">
        <f t="shared" si="172"/>
        <v>0.14174620007069638</v>
      </c>
      <c r="P464" s="169">
        <v>0.16412414518674401</v>
      </c>
      <c r="Q464" s="219"/>
    </row>
    <row r="465" spans="2:17" ht="14" customHeight="1" x14ac:dyDescent="0.25">
      <c r="B465" s="170">
        <v>4</v>
      </c>
      <c r="C465" s="37" t="s">
        <v>25</v>
      </c>
      <c r="D465" s="168">
        <f t="shared" si="168"/>
        <v>3</v>
      </c>
      <c r="E465" s="168">
        <f t="shared" si="168"/>
        <v>2.8000000000000007</v>
      </c>
      <c r="F465" s="169">
        <f t="shared" si="169"/>
        <v>7.1428571428571175E-2</v>
      </c>
      <c r="G465" s="169">
        <f t="shared" si="170"/>
        <v>0.11320754716981132</v>
      </c>
      <c r="H465" s="169">
        <f t="shared" si="171"/>
        <v>0.14507772020725385</v>
      </c>
      <c r="J465" s="170">
        <v>4</v>
      </c>
      <c r="K465" s="37" t="s">
        <v>25</v>
      </c>
      <c r="L465" s="168">
        <v>30.7</v>
      </c>
      <c r="M465" s="168">
        <v>27</v>
      </c>
      <c r="N465" s="169">
        <f>(L465-M465)/M465</f>
        <v>0.13703703703703701</v>
      </c>
      <c r="O465" s="169">
        <v>0.108</v>
      </c>
      <c r="P465" s="169">
        <v>0.14203051025775901</v>
      </c>
      <c r="Q465" s="219"/>
    </row>
    <row r="466" spans="2:17" ht="14" customHeight="1" x14ac:dyDescent="0.25">
      <c r="B466" s="170">
        <v>5</v>
      </c>
      <c r="C466" s="7" t="s">
        <v>173</v>
      </c>
      <c r="D466" s="168">
        <f t="shared" si="168"/>
        <v>3.1000000000000014</v>
      </c>
      <c r="E466" s="168">
        <f t="shared" si="168"/>
        <v>2.7000000000000028</v>
      </c>
      <c r="F466" s="169">
        <f t="shared" si="169"/>
        <v>0.14814814814814747</v>
      </c>
      <c r="G466" s="169">
        <f t="shared" si="170"/>
        <v>0.11698113207547176</v>
      </c>
      <c r="H466" s="169">
        <f t="shared" si="171"/>
        <v>0.13989637305699487</v>
      </c>
      <c r="J466" s="170">
        <v>5</v>
      </c>
      <c r="K466" s="7" t="s">
        <v>173</v>
      </c>
      <c r="L466" s="168">
        <v>28.1</v>
      </c>
      <c r="M466" s="168">
        <v>20.100000000000001</v>
      </c>
      <c r="N466" s="169">
        <f>(L466-M466)/M466</f>
        <v>0.39800995024875618</v>
      </c>
      <c r="O466" s="169">
        <f t="shared" si="172"/>
        <v>9.9328384588193722E-2</v>
      </c>
      <c r="P466" s="169">
        <v>0.10573382430299801</v>
      </c>
      <c r="Q466" s="219"/>
    </row>
    <row r="467" spans="2:17" ht="14" customHeight="1" x14ac:dyDescent="0.25">
      <c r="B467" s="170">
        <v>10</v>
      </c>
      <c r="C467" s="170" t="s">
        <v>69</v>
      </c>
      <c r="D467" s="168">
        <f t="shared" si="168"/>
        <v>0.59999999999999964</v>
      </c>
      <c r="E467" s="168">
        <f t="shared" si="168"/>
        <v>0.19999999999999996</v>
      </c>
      <c r="F467" s="169">
        <f t="shared" si="169"/>
        <v>1.9999999999999987</v>
      </c>
      <c r="G467" s="169">
        <f t="shared" si="170"/>
        <v>2.2641509433962252E-2</v>
      </c>
      <c r="H467" s="169">
        <f t="shared" si="171"/>
        <v>1.0362694300518126E-2</v>
      </c>
      <c r="J467" s="170">
        <v>6</v>
      </c>
      <c r="K467" s="170" t="s">
        <v>69</v>
      </c>
      <c r="L467" s="168">
        <v>5.3</v>
      </c>
      <c r="M467" s="168">
        <v>1</v>
      </c>
      <c r="N467" s="169">
        <v>4.4870000000000001</v>
      </c>
      <c r="O467" s="169">
        <f t="shared" si="172"/>
        <v>1.8734535171438672E-2</v>
      </c>
      <c r="P467" s="169">
        <v>5.2603892688058897E-3</v>
      </c>
      <c r="Q467" s="219"/>
    </row>
    <row r="468" spans="2:17" ht="14" customHeight="1" x14ac:dyDescent="0.25">
      <c r="B468" s="170">
        <v>6</v>
      </c>
      <c r="C468" s="170" t="s">
        <v>357</v>
      </c>
      <c r="D468" s="168">
        <f>L468-L484</f>
        <v>0.80000000000000027</v>
      </c>
      <c r="E468" s="168">
        <f>M468-M484</f>
        <v>0.20000000000000018</v>
      </c>
      <c r="F468" s="169">
        <f t="shared" si="169"/>
        <v>2.9999999999999978</v>
      </c>
      <c r="G468" s="169">
        <f t="shared" si="170"/>
        <v>3.018867924528303E-2</v>
      </c>
      <c r="H468" s="169">
        <f t="shared" si="171"/>
        <v>1.0362694300518139E-2</v>
      </c>
      <c r="J468" s="170">
        <v>7</v>
      </c>
      <c r="K468" s="7" t="s">
        <v>185</v>
      </c>
      <c r="L468" s="168">
        <v>4.4000000000000004</v>
      </c>
      <c r="M468" s="168">
        <v>1.6</v>
      </c>
      <c r="N468" s="169">
        <v>1.6639999999999999</v>
      </c>
      <c r="O468" s="169">
        <v>1.4999999999999999E-2</v>
      </c>
      <c r="P468" s="169">
        <v>8.9999999999999993E-3</v>
      </c>
      <c r="Q468" s="219"/>
    </row>
    <row r="469" spans="2:17" ht="14" customHeight="1" x14ac:dyDescent="0.25">
      <c r="B469" s="170">
        <v>7</v>
      </c>
      <c r="C469" s="170" t="s">
        <v>46</v>
      </c>
      <c r="D469" s="168">
        <f>L469-L483</f>
        <v>0.5</v>
      </c>
      <c r="E469" s="168">
        <f>M469-M483</f>
        <v>0.19999999999999996</v>
      </c>
      <c r="F469" s="169">
        <f t="shared" si="169"/>
        <v>1.5000000000000004</v>
      </c>
      <c r="G469" s="169">
        <f t="shared" si="170"/>
        <v>1.8867924528301886E-2</v>
      </c>
      <c r="H469" s="169">
        <f t="shared" si="171"/>
        <v>1.0362694300518126E-2</v>
      </c>
      <c r="J469" s="170">
        <v>8</v>
      </c>
      <c r="K469" s="7" t="s">
        <v>46</v>
      </c>
      <c r="L469" s="168">
        <v>4.2</v>
      </c>
      <c r="M469" s="168">
        <v>1.5</v>
      </c>
      <c r="N469" s="169">
        <v>1.702</v>
      </c>
      <c r="O469" s="169">
        <f t="shared" si="172"/>
        <v>1.484623541887593E-2</v>
      </c>
      <c r="P469" s="169">
        <v>7.8905839032088407E-3</v>
      </c>
      <c r="Q469" s="219"/>
    </row>
    <row r="470" spans="2:17" ht="14" customHeight="1" x14ac:dyDescent="0.25">
      <c r="B470" s="170">
        <v>8</v>
      </c>
      <c r="C470" s="7" t="s">
        <v>264</v>
      </c>
      <c r="D470" s="168">
        <f t="shared" ref="D470:E473" si="173">L470-L485</f>
        <v>0.29999999999999982</v>
      </c>
      <c r="E470" s="168">
        <f t="shared" si="173"/>
        <v>0.40000000000000036</v>
      </c>
      <c r="F470" s="169">
        <f t="shared" si="169"/>
        <v>-0.25000000000000111</v>
      </c>
      <c r="G470" s="169">
        <f t="shared" si="170"/>
        <v>1.1320754716981126E-2</v>
      </c>
      <c r="H470" s="169">
        <f t="shared" si="171"/>
        <v>2.0725388601036277E-2</v>
      </c>
      <c r="J470" s="170">
        <v>9</v>
      </c>
      <c r="K470" s="7" t="s">
        <v>264</v>
      </c>
      <c r="L470" s="168">
        <v>3.3</v>
      </c>
      <c r="M470" s="168">
        <v>3.7</v>
      </c>
      <c r="N470" s="169">
        <v>-0.1</v>
      </c>
      <c r="O470" s="169">
        <f t="shared" si="172"/>
        <v>1.166489925768823E-2</v>
      </c>
      <c r="P470" s="169">
        <v>0.02</v>
      </c>
      <c r="Q470" s="219"/>
    </row>
    <row r="471" spans="2:17" ht="14" customHeight="1" x14ac:dyDescent="0.25">
      <c r="B471" s="170">
        <v>9</v>
      </c>
      <c r="C471" s="170" t="s">
        <v>28</v>
      </c>
      <c r="D471" s="168">
        <f t="shared" si="173"/>
        <v>0.20000000000000018</v>
      </c>
      <c r="E471" s="168">
        <f t="shared" si="173"/>
        <v>0.10000000000000009</v>
      </c>
      <c r="F471" s="169">
        <f t="shared" si="169"/>
        <v>1</v>
      </c>
      <c r="G471" s="169">
        <f t="shared" si="170"/>
        <v>7.5471698113207617E-3</v>
      </c>
      <c r="H471" s="169">
        <f t="shared" si="171"/>
        <v>5.1813471502590693E-3</v>
      </c>
      <c r="J471" s="170">
        <v>10</v>
      </c>
      <c r="K471" s="170" t="s">
        <v>28</v>
      </c>
      <c r="L471" s="168">
        <v>2.5</v>
      </c>
      <c r="M471" s="168">
        <v>1.8</v>
      </c>
      <c r="N471" s="169">
        <v>0.36199999999999999</v>
      </c>
      <c r="O471" s="169">
        <f t="shared" si="172"/>
        <v>8.8370448921880531E-3</v>
      </c>
      <c r="P471" s="169">
        <v>0.01</v>
      </c>
      <c r="Q471" s="219"/>
    </row>
    <row r="472" spans="2:17" ht="14" customHeight="1" x14ac:dyDescent="0.25">
      <c r="B472" s="340" t="s">
        <v>77</v>
      </c>
      <c r="C472" s="341"/>
      <c r="D472" s="168">
        <f t="shared" si="173"/>
        <v>1</v>
      </c>
      <c r="E472" s="168">
        <f t="shared" si="173"/>
        <v>0.60000000000000053</v>
      </c>
      <c r="F472" s="169">
        <f t="shared" si="169"/>
        <v>0.66666666666666519</v>
      </c>
      <c r="G472" s="169">
        <f t="shared" si="170"/>
        <v>3.7735849056603772E-2</v>
      </c>
      <c r="H472" s="169">
        <f t="shared" si="171"/>
        <v>3.1088082901554414E-2</v>
      </c>
      <c r="J472" s="342" t="s">
        <v>77</v>
      </c>
      <c r="K472" s="342"/>
      <c r="L472" s="168">
        <v>7.5</v>
      </c>
      <c r="M472" s="168">
        <v>4.7</v>
      </c>
      <c r="N472" s="169">
        <f>(L472-M472)/M472</f>
        <v>0.5957446808510638</v>
      </c>
      <c r="O472" s="169">
        <v>2.5999999999999999E-2</v>
      </c>
      <c r="P472" s="169">
        <v>2.4E-2</v>
      </c>
      <c r="Q472" s="219"/>
    </row>
    <row r="473" spans="2:17" ht="14" customHeight="1" x14ac:dyDescent="0.25">
      <c r="B473" s="340" t="s">
        <v>78</v>
      </c>
      <c r="C473" s="341"/>
      <c r="D473" s="168">
        <f t="shared" si="173"/>
        <v>28.399999999999977</v>
      </c>
      <c r="E473" s="168">
        <f t="shared" si="173"/>
        <v>23.599999999999994</v>
      </c>
      <c r="F473" s="169">
        <f t="shared" si="169"/>
        <v>0.20338983050847381</v>
      </c>
      <c r="G473" s="169">
        <f t="shared" si="170"/>
        <v>1.0716981132075463</v>
      </c>
      <c r="H473" s="169">
        <f t="shared" si="171"/>
        <v>1.2227979274611389</v>
      </c>
      <c r="J473" s="342" t="s">
        <v>78</v>
      </c>
      <c r="K473" s="342"/>
      <c r="L473" s="168">
        <v>282.89999999999998</v>
      </c>
      <c r="M473" s="168">
        <v>190.1</v>
      </c>
      <c r="N473" s="169">
        <v>0.52800000000000002</v>
      </c>
      <c r="O473" s="169">
        <v>1</v>
      </c>
      <c r="P473" s="169">
        <v>1</v>
      </c>
      <c r="Q473" s="219"/>
    </row>
    <row r="474" spans="2:17" ht="14" customHeight="1" x14ac:dyDescent="0.25">
      <c r="B474" s="10"/>
    </row>
    <row r="475" spans="2:17" ht="14" customHeight="1" x14ac:dyDescent="0.25">
      <c r="B475" s="10" t="s">
        <v>757</v>
      </c>
      <c r="J475" s="10" t="s">
        <v>758</v>
      </c>
    </row>
    <row r="476" spans="2:17" ht="14" customHeight="1" x14ac:dyDescent="0.25">
      <c r="B476" s="37" t="s">
        <v>96</v>
      </c>
      <c r="C476" s="7" t="s">
        <v>123</v>
      </c>
      <c r="D476" s="146">
        <v>45200</v>
      </c>
      <c r="E476" s="146">
        <v>44835</v>
      </c>
      <c r="F476" s="7" t="s">
        <v>34</v>
      </c>
      <c r="G476" s="7" t="s">
        <v>124</v>
      </c>
      <c r="H476" s="7" t="s">
        <v>176</v>
      </c>
      <c r="I476" s="15"/>
      <c r="J476" s="37" t="s">
        <v>96</v>
      </c>
      <c r="K476" s="7" t="s">
        <v>123</v>
      </c>
      <c r="L476" s="146" t="s">
        <v>138</v>
      </c>
      <c r="M476" s="146" t="s">
        <v>188</v>
      </c>
      <c r="N476" s="7" t="s">
        <v>34</v>
      </c>
      <c r="O476" s="7" t="s">
        <v>124</v>
      </c>
      <c r="P476" s="7" t="s">
        <v>176</v>
      </c>
    </row>
    <row r="477" spans="2:17" ht="14" customHeight="1" x14ac:dyDescent="0.25">
      <c r="B477" s="170">
        <v>1</v>
      </c>
      <c r="C477" s="7" t="s">
        <v>172</v>
      </c>
      <c r="D477" s="168">
        <f t="shared" ref="D477:E483" si="174">L477-L492</f>
        <v>6.4000000000000057</v>
      </c>
      <c r="E477" s="168">
        <f t="shared" si="174"/>
        <v>5.1000000000000014</v>
      </c>
      <c r="F477" s="169">
        <f>D477/E477-1</f>
        <v>0.2549019607843146</v>
      </c>
      <c r="G477" s="169">
        <f>D477/$D$488</f>
        <v>0.24150943396226437</v>
      </c>
      <c r="H477" s="169">
        <f>E477/$E$488</f>
        <v>0.26424870466321237</v>
      </c>
      <c r="J477" s="170">
        <v>1</v>
      </c>
      <c r="K477" s="7" t="s">
        <v>172</v>
      </c>
      <c r="L477" s="168">
        <v>70.5</v>
      </c>
      <c r="M477" s="168">
        <v>48</v>
      </c>
      <c r="N477" s="169">
        <v>0.47</v>
      </c>
      <c r="O477" s="169">
        <v>0.27700000000000002</v>
      </c>
      <c r="P477" s="169">
        <v>0.217</v>
      </c>
      <c r="Q477" s="219"/>
    </row>
    <row r="478" spans="2:17" ht="14" customHeight="1" x14ac:dyDescent="0.25">
      <c r="B478" s="170">
        <v>2</v>
      </c>
      <c r="C478" s="7" t="s">
        <v>98</v>
      </c>
      <c r="D478" s="168">
        <f t="shared" si="174"/>
        <v>6.2999999999999972</v>
      </c>
      <c r="E478" s="168">
        <f t="shared" si="174"/>
        <v>4.9000000000000021</v>
      </c>
      <c r="F478" s="169">
        <f t="shared" ref="F478:F488" si="175">D478/E478-1</f>
        <v>0.28571428571428448</v>
      </c>
      <c r="G478" s="169">
        <f t="shared" ref="G478:G488" si="176">D478/$D$488</f>
        <v>0.23773584905660367</v>
      </c>
      <c r="H478" s="169">
        <f t="shared" ref="H478:H488" si="177">E478/$E$488</f>
        <v>0.25388601036269426</v>
      </c>
      <c r="J478" s="170">
        <v>2</v>
      </c>
      <c r="K478" s="7" t="s">
        <v>98</v>
      </c>
      <c r="L478" s="168">
        <v>70.3</v>
      </c>
      <c r="M478" s="168">
        <v>36.200000000000003</v>
      </c>
      <c r="N478" s="169">
        <v>0.94299999999999995</v>
      </c>
      <c r="O478" s="169">
        <v>0.27600000000000002</v>
      </c>
      <c r="P478" s="169">
        <v>0.217</v>
      </c>
      <c r="Q478" s="219"/>
    </row>
    <row r="479" spans="2:17" ht="14" customHeight="1" x14ac:dyDescent="0.25">
      <c r="B479" s="170">
        <v>3</v>
      </c>
      <c r="C479" s="7" t="s">
        <v>102</v>
      </c>
      <c r="D479" s="168">
        <f t="shared" si="174"/>
        <v>3.5</v>
      </c>
      <c r="E479" s="168">
        <f t="shared" si="174"/>
        <v>2.9000000000000021</v>
      </c>
      <c r="F479" s="169">
        <f t="shared" si="175"/>
        <v>0.20689655172413701</v>
      </c>
      <c r="G479" s="169">
        <f t="shared" si="176"/>
        <v>0.13207547169811321</v>
      </c>
      <c r="H479" s="169">
        <f t="shared" si="177"/>
        <v>0.15025906735751299</v>
      </c>
      <c r="J479" s="170">
        <v>3</v>
      </c>
      <c r="K479" s="7" t="s">
        <v>102</v>
      </c>
      <c r="L479" s="168">
        <v>37.1</v>
      </c>
      <c r="M479" s="168">
        <v>28.1</v>
      </c>
      <c r="N479" s="169">
        <v>0.317</v>
      </c>
      <c r="O479" s="169">
        <v>0.14599999999999999</v>
      </c>
      <c r="P479" s="169">
        <v>0.16900000000000001</v>
      </c>
      <c r="Q479" s="219"/>
    </row>
    <row r="480" spans="2:17" ht="14" customHeight="1" x14ac:dyDescent="0.25">
      <c r="B480" s="170">
        <v>4</v>
      </c>
      <c r="C480" s="37" t="s">
        <v>25</v>
      </c>
      <c r="D480" s="168">
        <f t="shared" si="174"/>
        <v>3.3000000000000007</v>
      </c>
      <c r="E480" s="168">
        <f t="shared" si="174"/>
        <v>2.8000000000000007</v>
      </c>
      <c r="F480" s="169">
        <f t="shared" si="175"/>
        <v>0.1785714285714286</v>
      </c>
      <c r="G480" s="169">
        <f t="shared" si="176"/>
        <v>0.12452830188679248</v>
      </c>
      <c r="H480" s="169">
        <f t="shared" si="177"/>
        <v>0.14507772020725385</v>
      </c>
      <c r="J480" s="170">
        <v>4</v>
      </c>
      <c r="K480" s="37" t="s">
        <v>25</v>
      </c>
      <c r="L480" s="168">
        <v>27.7</v>
      </c>
      <c r="M480" s="168">
        <v>24.2</v>
      </c>
      <c r="N480" s="169">
        <v>0.14199999999999999</v>
      </c>
      <c r="O480" s="169">
        <v>0.109</v>
      </c>
      <c r="P480" s="169">
        <v>0.14599999999999999</v>
      </c>
      <c r="Q480" s="219"/>
    </row>
    <row r="481" spans="2:17" ht="14" customHeight="1" x14ac:dyDescent="0.25">
      <c r="B481" s="170">
        <v>5</v>
      </c>
      <c r="C481" s="7" t="s">
        <v>173</v>
      </c>
      <c r="D481" s="168">
        <f t="shared" si="174"/>
        <v>3.3999999999999986</v>
      </c>
      <c r="E481" s="168">
        <f t="shared" si="174"/>
        <v>2.0999999999999979</v>
      </c>
      <c r="F481" s="169">
        <f t="shared" si="175"/>
        <v>0.61904761904761996</v>
      </c>
      <c r="G481" s="169">
        <f t="shared" si="176"/>
        <v>0.12830188679245277</v>
      </c>
      <c r="H481" s="169">
        <f t="shared" si="177"/>
        <v>0.10880829015544025</v>
      </c>
      <c r="J481" s="170">
        <v>5</v>
      </c>
      <c r="K481" s="7" t="s">
        <v>173</v>
      </c>
      <c r="L481" s="168">
        <v>25</v>
      </c>
      <c r="M481" s="168">
        <v>17.399999999999999</v>
      </c>
      <c r="N481" s="169">
        <v>0.436</v>
      </c>
      <c r="O481" s="169">
        <v>9.8000000000000004E-2</v>
      </c>
      <c r="P481" s="169">
        <v>0.105</v>
      </c>
      <c r="Q481" s="219"/>
    </row>
    <row r="482" spans="2:17" ht="14" customHeight="1" x14ac:dyDescent="0.25">
      <c r="B482" s="170">
        <v>10</v>
      </c>
      <c r="C482" s="170" t="s">
        <v>69</v>
      </c>
      <c r="D482" s="168">
        <f t="shared" si="174"/>
        <v>0.60000000000000053</v>
      </c>
      <c r="E482" s="168">
        <f t="shared" si="174"/>
        <v>0.20000000000000007</v>
      </c>
      <c r="F482" s="169">
        <f t="shared" si="175"/>
        <v>2.0000000000000018</v>
      </c>
      <c r="G482" s="169">
        <f t="shared" si="176"/>
        <v>2.2641509433962283E-2</v>
      </c>
      <c r="H482" s="169">
        <f t="shared" si="177"/>
        <v>1.0362694300518132E-2</v>
      </c>
      <c r="J482" s="170">
        <v>6</v>
      </c>
      <c r="K482" s="170" t="s">
        <v>69</v>
      </c>
      <c r="L482" s="168">
        <v>4.7</v>
      </c>
      <c r="M482" s="168">
        <v>0.8</v>
      </c>
      <c r="N482" s="169">
        <v>5.2489999999999997</v>
      </c>
      <c r="O482" s="169">
        <v>1.7999999999999999E-2</v>
      </c>
      <c r="P482" s="169">
        <v>5.0000000000000001E-3</v>
      </c>
      <c r="Q482" s="219"/>
    </row>
    <row r="483" spans="2:17" ht="14" customHeight="1" x14ac:dyDescent="0.25">
      <c r="B483" s="170">
        <v>6</v>
      </c>
      <c r="C483" s="170" t="s">
        <v>46</v>
      </c>
      <c r="D483" s="168">
        <f t="shared" si="174"/>
        <v>0.40000000000000036</v>
      </c>
      <c r="E483" s="168">
        <f t="shared" si="174"/>
        <v>0.10000000000000009</v>
      </c>
      <c r="F483" s="169">
        <f t="shared" si="175"/>
        <v>3</v>
      </c>
      <c r="G483" s="169">
        <f t="shared" si="176"/>
        <v>1.5094339622641523E-2</v>
      </c>
      <c r="H483" s="169">
        <f t="shared" si="177"/>
        <v>5.1813471502590693E-3</v>
      </c>
      <c r="J483" s="170">
        <v>7</v>
      </c>
      <c r="K483" s="170" t="s">
        <v>46</v>
      </c>
      <c r="L483" s="168">
        <v>3.7</v>
      </c>
      <c r="M483" s="168">
        <v>1.3</v>
      </c>
      <c r="N483" s="169">
        <v>1.7869999999999999</v>
      </c>
      <c r="O483" s="169">
        <v>1.4999999999999999E-2</v>
      </c>
      <c r="P483" s="169">
        <v>8.0000000000000002E-3</v>
      </c>
      <c r="Q483" s="219"/>
    </row>
    <row r="484" spans="2:17" ht="14" customHeight="1" x14ac:dyDescent="0.25">
      <c r="B484" s="170">
        <v>7</v>
      </c>
      <c r="C484" s="170" t="s">
        <v>357</v>
      </c>
      <c r="D484" s="168">
        <f>L484-L500</f>
        <v>0.60000000000000009</v>
      </c>
      <c r="E484" s="168">
        <f>M484-M500</f>
        <v>0.19999999999999996</v>
      </c>
      <c r="F484" s="169">
        <f t="shared" si="175"/>
        <v>2.0000000000000013</v>
      </c>
      <c r="G484" s="169">
        <f t="shared" si="176"/>
        <v>2.2641509433962266E-2</v>
      </c>
      <c r="H484" s="169">
        <f t="shared" si="177"/>
        <v>1.0362694300518126E-2</v>
      </c>
      <c r="J484" s="170">
        <v>8</v>
      </c>
      <c r="K484" s="7" t="s">
        <v>185</v>
      </c>
      <c r="L484" s="168">
        <v>3.6</v>
      </c>
      <c r="M484" s="168">
        <v>1.4</v>
      </c>
      <c r="N484" s="169">
        <v>1.6279999999999999</v>
      </c>
      <c r="O484" s="169">
        <v>1.4E-2</v>
      </c>
      <c r="P484" s="169">
        <v>8.0000000000000002E-3</v>
      </c>
      <c r="Q484" s="219"/>
    </row>
    <row r="485" spans="2:17" ht="14" customHeight="1" x14ac:dyDescent="0.25">
      <c r="B485" s="170">
        <v>8</v>
      </c>
      <c r="C485" s="7" t="s">
        <v>264</v>
      </c>
      <c r="D485" s="168">
        <f>L485-L499</f>
        <v>0.29999999999999982</v>
      </c>
      <c r="E485" s="168">
        <f>M485-M500</f>
        <v>2.0999999999999996</v>
      </c>
      <c r="F485" s="169">
        <f t="shared" si="175"/>
        <v>-0.85714285714285721</v>
      </c>
      <c r="G485" s="169">
        <f t="shared" si="176"/>
        <v>1.1320754716981126E-2</v>
      </c>
      <c r="H485" s="169">
        <f t="shared" si="177"/>
        <v>0.10880829015544033</v>
      </c>
      <c r="J485" s="170">
        <v>9</v>
      </c>
      <c r="K485" s="7" t="s">
        <v>264</v>
      </c>
      <c r="L485" s="168">
        <v>3</v>
      </c>
      <c r="M485" s="168">
        <v>3.3</v>
      </c>
      <c r="N485" s="169">
        <v>-7.5999999999999998E-2</v>
      </c>
      <c r="O485" s="169">
        <v>1.2E-2</v>
      </c>
      <c r="P485" s="169">
        <v>0.02</v>
      </c>
      <c r="Q485" s="219"/>
    </row>
    <row r="486" spans="2:17" ht="14" customHeight="1" x14ac:dyDescent="0.25">
      <c r="B486" s="170">
        <v>9</v>
      </c>
      <c r="C486" s="170" t="s">
        <v>28</v>
      </c>
      <c r="D486" s="168">
        <f>L486-L501</f>
        <v>0.29999999999999982</v>
      </c>
      <c r="E486" s="168">
        <f>M486-M501</f>
        <v>0.19999999999999996</v>
      </c>
      <c r="F486" s="169">
        <f t="shared" si="175"/>
        <v>0.49999999999999933</v>
      </c>
      <c r="G486" s="169">
        <f t="shared" si="176"/>
        <v>1.1320754716981126E-2</v>
      </c>
      <c r="H486" s="169">
        <f t="shared" si="177"/>
        <v>1.0362694300518126E-2</v>
      </c>
      <c r="J486" s="170">
        <v>10</v>
      </c>
      <c r="K486" s="170" t="s">
        <v>28</v>
      </c>
      <c r="L486" s="168">
        <v>2.2999999999999998</v>
      </c>
      <c r="M486" s="168">
        <v>1.7</v>
      </c>
      <c r="N486" s="169">
        <v>0.35799999999999998</v>
      </c>
      <c r="O486" s="169">
        <v>8.9999999999999993E-3</v>
      </c>
      <c r="P486" s="169">
        <v>0.01</v>
      </c>
      <c r="Q486" s="219"/>
    </row>
    <row r="487" spans="2:17" ht="14" customHeight="1" x14ac:dyDescent="0.25">
      <c r="B487" s="340" t="s">
        <v>77</v>
      </c>
      <c r="C487" s="341"/>
      <c r="D487" s="168">
        <f>L487-L502</f>
        <v>1.2000000000000002</v>
      </c>
      <c r="E487" s="168">
        <f>M487-M502</f>
        <v>0.49999999999999956</v>
      </c>
      <c r="F487" s="169">
        <f t="shared" si="175"/>
        <v>1.4000000000000026</v>
      </c>
      <c r="G487" s="169">
        <f t="shared" si="176"/>
        <v>4.5283018867924532E-2</v>
      </c>
      <c r="H487" s="169">
        <f t="shared" si="177"/>
        <v>2.5906735751295297E-2</v>
      </c>
      <c r="J487" s="342" t="s">
        <v>77</v>
      </c>
      <c r="K487" s="342"/>
      <c r="L487" s="168">
        <v>6.5</v>
      </c>
      <c r="M487" s="168">
        <v>4.0999999999999996</v>
      </c>
      <c r="N487" s="169">
        <v>0.59399999999999997</v>
      </c>
      <c r="O487" s="169">
        <v>2.5999999999999999E-2</v>
      </c>
      <c r="P487" s="169">
        <v>2.5000000000000001E-2</v>
      </c>
      <c r="Q487" s="219"/>
    </row>
    <row r="488" spans="2:17" ht="14" customHeight="1" x14ac:dyDescent="0.25">
      <c r="B488" s="340" t="s">
        <v>78</v>
      </c>
      <c r="C488" s="341"/>
      <c r="D488" s="168">
        <f>L488-L503</f>
        <v>26.5</v>
      </c>
      <c r="E488" s="168">
        <f>M488-M503</f>
        <v>19.300000000000011</v>
      </c>
      <c r="F488" s="169">
        <f t="shared" si="175"/>
        <v>0.37305699481865195</v>
      </c>
      <c r="G488" s="169">
        <f t="shared" si="176"/>
        <v>1</v>
      </c>
      <c r="H488" s="169">
        <f t="shared" si="177"/>
        <v>1</v>
      </c>
      <c r="J488" s="342" t="s">
        <v>78</v>
      </c>
      <c r="K488" s="342"/>
      <c r="L488" s="168">
        <v>254.5</v>
      </c>
      <c r="M488" s="168">
        <v>166.5</v>
      </c>
      <c r="N488" s="169">
        <v>0.52800000000000002</v>
      </c>
      <c r="O488" s="169">
        <v>1</v>
      </c>
      <c r="P488" s="169">
        <v>1</v>
      </c>
      <c r="Q488" s="219"/>
    </row>
    <row r="489" spans="2:17" ht="14" customHeight="1" x14ac:dyDescent="0.25">
      <c r="B489" s="21"/>
      <c r="C489" s="21"/>
      <c r="D489" s="171"/>
      <c r="E489" s="171"/>
      <c r="F489" s="51"/>
      <c r="G489" s="51"/>
      <c r="H489" s="51"/>
      <c r="J489" s="21"/>
      <c r="K489" s="21"/>
      <c r="L489" s="171"/>
      <c r="M489" s="171"/>
      <c r="N489" s="51"/>
      <c r="O489" s="51"/>
      <c r="P489" s="51"/>
      <c r="Q489" s="219"/>
    </row>
    <row r="490" spans="2:17" ht="14" customHeight="1" x14ac:dyDescent="0.25">
      <c r="B490" s="10" t="s">
        <v>759</v>
      </c>
      <c r="J490" s="10" t="s">
        <v>760</v>
      </c>
    </row>
    <row r="491" spans="2:17" ht="14" customHeight="1" x14ac:dyDescent="0.25">
      <c r="B491" s="37" t="s">
        <v>96</v>
      </c>
      <c r="C491" s="7" t="s">
        <v>123</v>
      </c>
      <c r="D491" s="146">
        <v>45170</v>
      </c>
      <c r="E491" s="146">
        <v>44805</v>
      </c>
      <c r="F491" s="7" t="s">
        <v>34</v>
      </c>
      <c r="G491" s="7" t="s">
        <v>124</v>
      </c>
      <c r="H491" s="7" t="s">
        <v>176</v>
      </c>
      <c r="I491" s="15"/>
      <c r="J491" s="37" t="s">
        <v>96</v>
      </c>
      <c r="K491" s="7" t="s">
        <v>123</v>
      </c>
      <c r="L491" s="146" t="s">
        <v>142</v>
      </c>
      <c r="M491" s="146" t="s">
        <v>191</v>
      </c>
      <c r="N491" s="7" t="s">
        <v>34</v>
      </c>
      <c r="O491" s="7" t="s">
        <v>124</v>
      </c>
      <c r="P491" s="7" t="s">
        <v>176</v>
      </c>
    </row>
    <row r="492" spans="2:17" ht="14" customHeight="1" x14ac:dyDescent="0.25">
      <c r="B492" s="170">
        <v>1</v>
      </c>
      <c r="C492" s="7" t="s">
        <v>172</v>
      </c>
      <c r="D492" s="168">
        <f t="shared" ref="D492:D503" si="178">L492-L507</f>
        <v>7.7999999999999972</v>
      </c>
      <c r="E492" s="168">
        <f t="shared" ref="E492:E503" si="179">M492-M507</f>
        <v>7.6999999999999957</v>
      </c>
      <c r="F492" s="169">
        <f>D492/E492-1</f>
        <v>1.2987012987013102E-2</v>
      </c>
      <c r="G492" s="169">
        <f>D492/$D$503</f>
        <v>0.25657894736842091</v>
      </c>
      <c r="H492" s="169">
        <f>E492/$E$503</f>
        <v>0.33624454148471611</v>
      </c>
      <c r="J492" s="170">
        <v>1</v>
      </c>
      <c r="K492" s="7" t="s">
        <v>172</v>
      </c>
      <c r="L492" s="168">
        <v>64.099999999999994</v>
      </c>
      <c r="M492" s="168">
        <v>42.9</v>
      </c>
      <c r="N492" s="169">
        <v>0.49199999999999999</v>
      </c>
      <c r="O492" s="169">
        <v>0.28114035087719302</v>
      </c>
      <c r="P492" s="169">
        <v>0.29144021739130399</v>
      </c>
      <c r="Q492" s="219"/>
    </row>
    <row r="493" spans="2:17" ht="14" customHeight="1" x14ac:dyDescent="0.25">
      <c r="B493" s="170">
        <v>2</v>
      </c>
      <c r="C493" s="7" t="s">
        <v>98</v>
      </c>
      <c r="D493" s="168">
        <f t="shared" si="178"/>
        <v>9.2999999999999972</v>
      </c>
      <c r="E493" s="168">
        <f t="shared" si="179"/>
        <v>5.4000000000000021</v>
      </c>
      <c r="F493" s="169">
        <f t="shared" ref="F493:F503" si="180">D493/E493-1</f>
        <v>0.72222222222222099</v>
      </c>
      <c r="G493" s="169">
        <f t="shared" ref="G493:G503" si="181">D493/$D$503</f>
        <v>0.30592105263157882</v>
      </c>
      <c r="H493" s="169">
        <f t="shared" ref="H493:H503" si="182">E493/$E$503</f>
        <v>0.23580786026200892</v>
      </c>
      <c r="J493" s="170">
        <v>2</v>
      </c>
      <c r="K493" s="7" t="s">
        <v>98</v>
      </c>
      <c r="L493" s="168">
        <v>64</v>
      </c>
      <c r="M493" s="168">
        <v>31.3</v>
      </c>
      <c r="N493" s="169">
        <v>1.0489999999999999</v>
      </c>
      <c r="O493" s="169">
        <v>0.28070175438596501</v>
      </c>
      <c r="P493" s="169">
        <v>0.21199999999999999</v>
      </c>
      <c r="Q493" s="219"/>
    </row>
    <row r="494" spans="2:17" ht="14" customHeight="1" x14ac:dyDescent="0.25">
      <c r="B494" s="170">
        <v>3</v>
      </c>
      <c r="C494" s="7" t="s">
        <v>102</v>
      </c>
      <c r="D494" s="168">
        <f t="shared" si="178"/>
        <v>3.2000000000000028</v>
      </c>
      <c r="E494" s="168">
        <f t="shared" si="179"/>
        <v>3.1999999999999993</v>
      </c>
      <c r="F494" s="169">
        <f t="shared" si="180"/>
        <v>0</v>
      </c>
      <c r="G494" s="169">
        <f t="shared" si="181"/>
        <v>0.10526315789473692</v>
      </c>
      <c r="H494" s="169">
        <f t="shared" si="182"/>
        <v>0.13973799126637557</v>
      </c>
      <c r="J494" s="170">
        <v>3</v>
      </c>
      <c r="K494" s="7" t="s">
        <v>102</v>
      </c>
      <c r="L494" s="168">
        <v>33.6</v>
      </c>
      <c r="M494" s="168">
        <v>25.2</v>
      </c>
      <c r="N494" s="169">
        <v>0.33200000000000002</v>
      </c>
      <c r="O494" s="169">
        <v>0.14736842105263201</v>
      </c>
      <c r="P494" s="169">
        <v>0.171195652173913</v>
      </c>
      <c r="Q494" s="219"/>
    </row>
    <row r="495" spans="2:17" ht="14" customHeight="1" x14ac:dyDescent="0.25">
      <c r="B495" s="170">
        <v>4</v>
      </c>
      <c r="C495" s="37" t="s">
        <v>25</v>
      </c>
      <c r="D495" s="168">
        <f t="shared" si="178"/>
        <v>2.7999999999999972</v>
      </c>
      <c r="E495" s="168">
        <f t="shared" si="179"/>
        <v>2.7999999999999972</v>
      </c>
      <c r="F495" s="169">
        <f t="shared" si="180"/>
        <v>0</v>
      </c>
      <c r="G495" s="169">
        <f t="shared" si="181"/>
        <v>9.2105263157894621E-2</v>
      </c>
      <c r="H495" s="169">
        <f t="shared" si="182"/>
        <v>0.12227074235807853</v>
      </c>
      <c r="J495" s="170">
        <v>4</v>
      </c>
      <c r="K495" s="37" t="s">
        <v>25</v>
      </c>
      <c r="L495" s="168">
        <v>24.4</v>
      </c>
      <c r="M495" s="168">
        <v>21.4</v>
      </c>
      <c r="N495" s="169">
        <v>0.13700000000000001</v>
      </c>
      <c r="O495" s="169">
        <v>0.107017543859649</v>
      </c>
      <c r="P495" s="169">
        <v>0.14538043478260901</v>
      </c>
      <c r="Q495" s="219"/>
    </row>
    <row r="496" spans="2:17" ht="14" customHeight="1" x14ac:dyDescent="0.25">
      <c r="B496" s="170">
        <v>5</v>
      </c>
      <c r="C496" s="7" t="s">
        <v>173</v>
      </c>
      <c r="D496" s="168">
        <f t="shared" si="178"/>
        <v>4.1000000000000014</v>
      </c>
      <c r="E496" s="168">
        <f t="shared" si="179"/>
        <v>2.2000000000000011</v>
      </c>
      <c r="F496" s="169">
        <f t="shared" si="180"/>
        <v>0.86363636363636331</v>
      </c>
      <c r="G496" s="169">
        <f t="shared" si="181"/>
        <v>0.13486842105263161</v>
      </c>
      <c r="H496" s="169">
        <f t="shared" si="182"/>
        <v>9.6069868995633273E-2</v>
      </c>
      <c r="J496" s="170">
        <v>5</v>
      </c>
      <c r="K496" s="7" t="s">
        <v>173</v>
      </c>
      <c r="L496" s="168">
        <v>21.6</v>
      </c>
      <c r="M496" s="168">
        <v>15.3</v>
      </c>
      <c r="N496" s="169">
        <v>0.41399999999999998</v>
      </c>
      <c r="O496" s="169">
        <v>9.4736842105263203E-2</v>
      </c>
      <c r="P496" s="169">
        <v>0.103940217391304</v>
      </c>
      <c r="Q496" s="219"/>
    </row>
    <row r="497" spans="2:17" ht="14" customHeight="1" x14ac:dyDescent="0.25">
      <c r="B497" s="170">
        <v>10</v>
      </c>
      <c r="C497" s="170" t="s">
        <v>69</v>
      </c>
      <c r="D497" s="168">
        <f t="shared" si="178"/>
        <v>0.79999999999999982</v>
      </c>
      <c r="E497" s="168">
        <f t="shared" si="179"/>
        <v>0</v>
      </c>
      <c r="F497" s="169" t="s">
        <v>31</v>
      </c>
      <c r="G497" s="169">
        <f t="shared" si="181"/>
        <v>2.6315789473684199E-2</v>
      </c>
      <c r="H497" s="169">
        <f t="shared" si="182"/>
        <v>0</v>
      </c>
      <c r="J497" s="170">
        <v>6</v>
      </c>
      <c r="K497" s="170" t="s">
        <v>69</v>
      </c>
      <c r="L497" s="168">
        <v>4.0999999999999996</v>
      </c>
      <c r="M497" s="168">
        <v>0.6</v>
      </c>
      <c r="N497" s="169">
        <v>5.3940000000000001</v>
      </c>
      <c r="O497" s="169">
        <v>1.7982456140350898E-2</v>
      </c>
      <c r="P497" s="169">
        <v>4.0760869565217399E-3</v>
      </c>
      <c r="Q497" s="219"/>
    </row>
    <row r="498" spans="2:17" ht="14" customHeight="1" x14ac:dyDescent="0.25">
      <c r="B498" s="170">
        <v>6</v>
      </c>
      <c r="C498" s="170" t="s">
        <v>46</v>
      </c>
      <c r="D498" s="168">
        <f t="shared" si="178"/>
        <v>0.5</v>
      </c>
      <c r="E498" s="168">
        <f t="shared" si="179"/>
        <v>9.9999999999999867E-2</v>
      </c>
      <c r="F498" s="169">
        <f>D498/E498-1</f>
        <v>4.0000000000000071</v>
      </c>
      <c r="G498" s="169">
        <f t="shared" si="181"/>
        <v>1.6447368421052627E-2</v>
      </c>
      <c r="H498" s="169">
        <f t="shared" si="182"/>
        <v>4.3668122270742312E-3</v>
      </c>
      <c r="J498" s="170">
        <v>7</v>
      </c>
      <c r="K498" s="170" t="s">
        <v>46</v>
      </c>
      <c r="L498" s="168">
        <v>3.3</v>
      </c>
      <c r="M498" s="168">
        <v>1.2</v>
      </c>
      <c r="N498" s="169">
        <v>1.7330000000000001</v>
      </c>
      <c r="O498" s="169">
        <v>1.44736842105263E-2</v>
      </c>
      <c r="P498" s="169">
        <v>8.1521739130434798E-3</v>
      </c>
      <c r="Q498" s="219"/>
    </row>
    <row r="499" spans="2:17" ht="14" customHeight="1" x14ac:dyDescent="0.25">
      <c r="B499" s="170">
        <v>7</v>
      </c>
      <c r="C499" s="170" t="s">
        <v>471</v>
      </c>
      <c r="D499" s="168">
        <f t="shared" si="178"/>
        <v>0.30000000000000027</v>
      </c>
      <c r="E499" s="168">
        <f t="shared" si="179"/>
        <v>0.5</v>
      </c>
      <c r="F499" s="169">
        <f t="shared" si="180"/>
        <v>-0.39999999999999947</v>
      </c>
      <c r="G499" s="169">
        <f t="shared" si="181"/>
        <v>9.8684210526315853E-3</v>
      </c>
      <c r="H499" s="169">
        <f t="shared" si="182"/>
        <v>2.1834061135371188E-2</v>
      </c>
      <c r="J499" s="170">
        <v>8</v>
      </c>
      <c r="K499" s="170" t="s">
        <v>471</v>
      </c>
      <c r="L499" s="168">
        <v>2.7</v>
      </c>
      <c r="M499" s="168">
        <v>3</v>
      </c>
      <c r="N499" s="169">
        <v>-8.7999999999999995E-2</v>
      </c>
      <c r="O499" s="169">
        <v>1.2E-2</v>
      </c>
      <c r="P499" s="169">
        <v>0.02</v>
      </c>
      <c r="Q499" s="219"/>
    </row>
    <row r="500" spans="2:17" ht="14" customHeight="1" x14ac:dyDescent="0.25">
      <c r="B500" s="170">
        <v>8</v>
      </c>
      <c r="C500" s="7" t="s">
        <v>185</v>
      </c>
      <c r="D500" s="168">
        <f t="shared" si="178"/>
        <v>0.70000000000000018</v>
      </c>
      <c r="E500" s="168">
        <f t="shared" si="179"/>
        <v>0.29999999999999993</v>
      </c>
      <c r="F500" s="169">
        <f t="shared" si="180"/>
        <v>1.3333333333333344</v>
      </c>
      <c r="G500" s="169">
        <f t="shared" si="181"/>
        <v>2.3026315789473686E-2</v>
      </c>
      <c r="H500" s="169">
        <f t="shared" si="182"/>
        <v>1.310043668122271E-2</v>
      </c>
      <c r="J500" s="170">
        <v>9</v>
      </c>
      <c r="K500" s="7" t="s">
        <v>185</v>
      </c>
      <c r="L500" s="168">
        <v>3</v>
      </c>
      <c r="M500" s="168">
        <v>1.2</v>
      </c>
      <c r="N500" s="169">
        <v>1.5840000000000001</v>
      </c>
      <c r="O500" s="169">
        <v>1.2999999999999999E-2</v>
      </c>
      <c r="P500" s="169">
        <v>8.0000000000000002E-3</v>
      </c>
      <c r="Q500" s="219"/>
    </row>
    <row r="501" spans="2:17" ht="14" customHeight="1" x14ac:dyDescent="0.25">
      <c r="B501" s="170">
        <v>9</v>
      </c>
      <c r="C501" s="170" t="s">
        <v>28</v>
      </c>
      <c r="D501" s="168">
        <f t="shared" si="178"/>
        <v>0.30000000000000004</v>
      </c>
      <c r="E501" s="168">
        <f t="shared" si="179"/>
        <v>0.19999999999999996</v>
      </c>
      <c r="F501" s="169">
        <f t="shared" si="180"/>
        <v>0.50000000000000067</v>
      </c>
      <c r="G501" s="169">
        <f t="shared" si="181"/>
        <v>9.8684210526315784E-3</v>
      </c>
      <c r="H501" s="169">
        <f t="shared" si="182"/>
        <v>8.7336244541484729E-3</v>
      </c>
      <c r="J501" s="170">
        <v>10</v>
      </c>
      <c r="K501" s="170" t="s">
        <v>28</v>
      </c>
      <c r="L501" s="168">
        <v>2</v>
      </c>
      <c r="M501" s="168">
        <v>1.5</v>
      </c>
      <c r="N501" s="169">
        <v>0.34799999999999998</v>
      </c>
      <c r="O501" s="169">
        <v>8.7719298245613996E-3</v>
      </c>
      <c r="P501" s="169">
        <v>1.0190217391304299E-2</v>
      </c>
      <c r="Q501" s="219"/>
    </row>
    <row r="502" spans="2:17" ht="14" customHeight="1" x14ac:dyDescent="0.25">
      <c r="B502" s="340" t="s">
        <v>77</v>
      </c>
      <c r="C502" s="341"/>
      <c r="D502" s="168">
        <f t="shared" si="178"/>
        <v>0.70000000000000018</v>
      </c>
      <c r="E502" s="168">
        <f t="shared" si="179"/>
        <v>0.60000000000000009</v>
      </c>
      <c r="F502" s="169">
        <f t="shared" si="180"/>
        <v>0.16666666666666674</v>
      </c>
      <c r="G502" s="169">
        <f t="shared" si="181"/>
        <v>2.3026315789473686E-2</v>
      </c>
      <c r="H502" s="169">
        <f t="shared" si="182"/>
        <v>2.6200873362445427E-2</v>
      </c>
      <c r="J502" s="342" t="s">
        <v>77</v>
      </c>
      <c r="K502" s="342"/>
      <c r="L502" s="168">
        <v>5.3</v>
      </c>
      <c r="M502" s="168">
        <v>3.6</v>
      </c>
      <c r="N502" s="169">
        <v>0.47099999999999997</v>
      </c>
      <c r="O502" s="169">
        <v>2.3245614035087701E-2</v>
      </c>
      <c r="P502" s="169">
        <v>2.5000000000000001E-2</v>
      </c>
      <c r="Q502" s="219"/>
    </row>
    <row r="503" spans="2:17" ht="14" customHeight="1" x14ac:dyDescent="0.25">
      <c r="B503" s="340" t="s">
        <v>78</v>
      </c>
      <c r="C503" s="341"/>
      <c r="D503" s="168">
        <f t="shared" si="178"/>
        <v>30.400000000000006</v>
      </c>
      <c r="E503" s="168">
        <f t="shared" si="179"/>
        <v>22.899999999999991</v>
      </c>
      <c r="F503" s="169">
        <f t="shared" si="180"/>
        <v>0.32751091703056834</v>
      </c>
      <c r="G503" s="169">
        <f t="shared" si="181"/>
        <v>1</v>
      </c>
      <c r="H503" s="169">
        <f t="shared" si="182"/>
        <v>1</v>
      </c>
      <c r="J503" s="342" t="s">
        <v>78</v>
      </c>
      <c r="K503" s="342"/>
      <c r="L503" s="168">
        <v>228</v>
      </c>
      <c r="M503" s="168">
        <v>147.19999999999999</v>
      </c>
      <c r="N503" s="169">
        <v>0.54900000000000004</v>
      </c>
      <c r="O503" s="169">
        <v>1</v>
      </c>
      <c r="P503" s="169">
        <v>1</v>
      </c>
      <c r="Q503" s="219"/>
    </row>
    <row r="504" spans="2:17" ht="14" customHeight="1" x14ac:dyDescent="0.25">
      <c r="B504" s="21"/>
      <c r="C504" s="21"/>
      <c r="D504" s="179"/>
      <c r="E504" s="179"/>
      <c r="F504" s="180"/>
      <c r="G504" s="180"/>
      <c r="H504" s="180"/>
      <c r="I504" s="180"/>
      <c r="J504" s="21"/>
      <c r="K504" s="21"/>
      <c r="L504" s="181"/>
      <c r="M504" s="223"/>
      <c r="N504" s="180"/>
      <c r="O504" s="180"/>
      <c r="P504" s="180"/>
    </row>
    <row r="505" spans="2:17" ht="14" customHeight="1" x14ac:dyDescent="0.25">
      <c r="B505" s="10" t="s">
        <v>761</v>
      </c>
      <c r="J505" s="10" t="s">
        <v>762</v>
      </c>
    </row>
    <row r="506" spans="2:17" ht="14" customHeight="1" x14ac:dyDescent="0.25">
      <c r="B506" s="37" t="s">
        <v>96</v>
      </c>
      <c r="C506" s="7" t="s">
        <v>123</v>
      </c>
      <c r="D506" s="146">
        <v>45139</v>
      </c>
      <c r="E506" s="146">
        <v>44774</v>
      </c>
      <c r="F506" s="7" t="s">
        <v>34</v>
      </c>
      <c r="G506" s="7" t="s">
        <v>124</v>
      </c>
      <c r="H506" s="7" t="s">
        <v>176</v>
      </c>
      <c r="I506" s="15"/>
      <c r="J506" s="37" t="s">
        <v>96</v>
      </c>
      <c r="K506" s="7" t="s">
        <v>123</v>
      </c>
      <c r="L506" s="146" t="s">
        <v>146</v>
      </c>
      <c r="M506" s="146" t="s">
        <v>194</v>
      </c>
      <c r="N506" s="7" t="s">
        <v>34</v>
      </c>
      <c r="O506" s="7" t="s">
        <v>124</v>
      </c>
      <c r="P506" s="7" t="s">
        <v>176</v>
      </c>
    </row>
    <row r="507" spans="2:17" ht="14" customHeight="1" x14ac:dyDescent="0.25">
      <c r="B507" s="170">
        <v>1</v>
      </c>
      <c r="C507" s="7" t="s">
        <v>172</v>
      </c>
      <c r="D507" s="168">
        <f t="shared" ref="D507:D518" si="183">L507-L522</f>
        <v>8.7999999999999972</v>
      </c>
      <c r="E507" s="168">
        <f t="shared" ref="E507:E518" si="184">M507-M522</f>
        <v>4.6000000000000014</v>
      </c>
      <c r="F507" s="169">
        <f>D507/E507-1</f>
        <v>0.91304347826086829</v>
      </c>
      <c r="G507" s="169">
        <f>D507/$D$518</f>
        <v>0.30240549828178692</v>
      </c>
      <c r="H507" s="169">
        <f>E507/$E$518</f>
        <v>0.27380952380952395</v>
      </c>
      <c r="I507" s="181"/>
      <c r="J507" s="170">
        <v>1</v>
      </c>
      <c r="K507" s="7" t="s">
        <v>172</v>
      </c>
      <c r="L507" s="170">
        <v>56.3</v>
      </c>
      <c r="M507" s="224">
        <v>35.200000000000003</v>
      </c>
      <c r="N507" s="169">
        <v>0.59699999999999998</v>
      </c>
      <c r="O507" s="169">
        <v>0.28499999999999998</v>
      </c>
      <c r="P507" s="169">
        <v>0.28299999999999997</v>
      </c>
    </row>
    <row r="508" spans="2:17" ht="14" customHeight="1" x14ac:dyDescent="0.25">
      <c r="B508" s="170">
        <v>2</v>
      </c>
      <c r="C508" s="7" t="s">
        <v>98</v>
      </c>
      <c r="D508" s="168">
        <f t="shared" si="183"/>
        <v>8.3000000000000043</v>
      </c>
      <c r="E508" s="168">
        <f t="shared" si="184"/>
        <v>3.6999999999999993</v>
      </c>
      <c r="F508" s="169">
        <f t="shared" ref="F508:F518" si="185">D508/E508-1</f>
        <v>1.2432432432432448</v>
      </c>
      <c r="G508" s="169">
        <f t="shared" ref="G508:G518" si="186">D508/$D$518</f>
        <v>0.28522336769759471</v>
      </c>
      <c r="H508" s="169">
        <f t="shared" ref="H508:H518" si="187">E508/$E$518</f>
        <v>0.22023809523809523</v>
      </c>
      <c r="I508" s="181"/>
      <c r="J508" s="170">
        <v>2</v>
      </c>
      <c r="K508" s="7" t="s">
        <v>98</v>
      </c>
      <c r="L508" s="170">
        <v>54.7</v>
      </c>
      <c r="M508" s="224">
        <v>25.9</v>
      </c>
      <c r="N508" s="169">
        <v>1.111</v>
      </c>
      <c r="O508" s="169">
        <v>0.27700000000000002</v>
      </c>
      <c r="P508" s="169">
        <v>0.20799999999999999</v>
      </c>
    </row>
    <row r="509" spans="2:17" ht="14" customHeight="1" x14ac:dyDescent="0.25">
      <c r="B509" s="170">
        <v>3</v>
      </c>
      <c r="C509" s="7" t="s">
        <v>102</v>
      </c>
      <c r="D509" s="168">
        <f t="shared" si="183"/>
        <v>4</v>
      </c>
      <c r="E509" s="168">
        <f t="shared" si="184"/>
        <v>3.1000000000000014</v>
      </c>
      <c r="F509" s="169">
        <f t="shared" si="185"/>
        <v>0.29032258064516059</v>
      </c>
      <c r="G509" s="169">
        <f t="shared" si="186"/>
        <v>0.13745704467353956</v>
      </c>
      <c r="H509" s="169">
        <f t="shared" si="187"/>
        <v>0.18452380952380965</v>
      </c>
      <c r="I509" s="181"/>
      <c r="J509" s="170">
        <v>3</v>
      </c>
      <c r="K509" s="7" t="s">
        <v>102</v>
      </c>
      <c r="L509" s="170">
        <v>30.4</v>
      </c>
      <c r="M509" s="224">
        <v>22</v>
      </c>
      <c r="N509" s="169">
        <v>0.38400000000000001</v>
      </c>
      <c r="O509" s="169">
        <v>0.154</v>
      </c>
      <c r="P509" s="169">
        <v>0.17699999999999999</v>
      </c>
    </row>
    <row r="510" spans="2:17" ht="14" customHeight="1" x14ac:dyDescent="0.25">
      <c r="B510" s="170">
        <v>4</v>
      </c>
      <c r="C510" s="37" t="s">
        <v>25</v>
      </c>
      <c r="D510" s="168">
        <f t="shared" si="183"/>
        <v>2.7000000000000028</v>
      </c>
      <c r="E510" s="168">
        <f t="shared" si="184"/>
        <v>2.3000000000000007</v>
      </c>
      <c r="F510" s="169">
        <f t="shared" si="185"/>
        <v>0.17391304347826164</v>
      </c>
      <c r="G510" s="169">
        <f t="shared" si="186"/>
        <v>9.278350515463929E-2</v>
      </c>
      <c r="H510" s="169">
        <f t="shared" si="187"/>
        <v>0.13690476190476197</v>
      </c>
      <c r="I510" s="181"/>
      <c r="J510" s="170">
        <v>4</v>
      </c>
      <c r="K510" s="37" t="s">
        <v>25</v>
      </c>
      <c r="L510" s="170">
        <v>21.6</v>
      </c>
      <c r="M510" s="224">
        <v>18.600000000000001</v>
      </c>
      <c r="N510" s="169">
        <v>0.161</v>
      </c>
      <c r="O510" s="169">
        <v>0.109</v>
      </c>
      <c r="P510" s="169">
        <v>0.15</v>
      </c>
    </row>
    <row r="511" spans="2:17" ht="14" customHeight="1" x14ac:dyDescent="0.25">
      <c r="B511" s="170">
        <v>5</v>
      </c>
      <c r="C511" s="7" t="s">
        <v>173</v>
      </c>
      <c r="D511" s="168">
        <f t="shared" si="183"/>
        <v>2.5999999999999996</v>
      </c>
      <c r="E511" s="168">
        <f t="shared" si="184"/>
        <v>1.9000000000000004</v>
      </c>
      <c r="F511" s="169">
        <f t="shared" si="185"/>
        <v>0.36842105263157854</v>
      </c>
      <c r="G511" s="169">
        <f t="shared" si="186"/>
        <v>8.9347079037800689E-2</v>
      </c>
      <c r="H511" s="169">
        <f t="shared" si="187"/>
        <v>0.11309523809523814</v>
      </c>
      <c r="I511" s="181"/>
      <c r="J511" s="170">
        <v>5</v>
      </c>
      <c r="K511" s="7" t="s">
        <v>173</v>
      </c>
      <c r="L511" s="170">
        <v>17.5</v>
      </c>
      <c r="M511" s="224">
        <v>13.1</v>
      </c>
      <c r="N511" s="169">
        <v>0.33</v>
      </c>
      <c r="O511" s="169">
        <v>8.8999999999999996E-2</v>
      </c>
      <c r="P511" s="169">
        <v>0.106</v>
      </c>
    </row>
    <row r="512" spans="2:17" ht="14" customHeight="1" x14ac:dyDescent="0.25">
      <c r="B512" s="170">
        <v>10</v>
      </c>
      <c r="C512" s="170" t="s">
        <v>69</v>
      </c>
      <c r="D512" s="168">
        <f t="shared" si="183"/>
        <v>0.59999999999999964</v>
      </c>
      <c r="E512" s="168">
        <f t="shared" si="184"/>
        <v>9.9999999999999978E-2</v>
      </c>
      <c r="F512" s="169">
        <f t="shared" si="185"/>
        <v>4.9999999999999973</v>
      </c>
      <c r="G512" s="169">
        <f t="shared" si="186"/>
        <v>2.0618556701030921E-2</v>
      </c>
      <c r="H512" s="169">
        <f t="shared" si="187"/>
        <v>5.9523809523809521E-3</v>
      </c>
      <c r="I512" s="181"/>
      <c r="J512" s="170">
        <v>6</v>
      </c>
      <c r="K512" s="170" t="s">
        <v>69</v>
      </c>
      <c r="L512" s="170">
        <v>3.3</v>
      </c>
      <c r="M512" s="224">
        <v>0.6</v>
      </c>
      <c r="N512" s="169">
        <v>4.7270000000000003</v>
      </c>
      <c r="O512" s="169">
        <v>1.7000000000000001E-2</v>
      </c>
      <c r="P512" s="169">
        <v>5.0000000000000001E-3</v>
      </c>
    </row>
    <row r="513" spans="2:16" ht="14" customHeight="1" x14ac:dyDescent="0.25">
      <c r="B513" s="170">
        <v>6</v>
      </c>
      <c r="C513" s="170" t="s">
        <v>46</v>
      </c>
      <c r="D513" s="168">
        <f t="shared" si="183"/>
        <v>0.5</v>
      </c>
      <c r="E513" s="168">
        <f t="shared" si="184"/>
        <v>0.10000000000000009</v>
      </c>
      <c r="F513" s="169">
        <f t="shared" si="185"/>
        <v>3.9999999999999956</v>
      </c>
      <c r="G513" s="169">
        <f t="shared" si="186"/>
        <v>1.7182130584192445E-2</v>
      </c>
      <c r="H513" s="169">
        <f t="shared" si="187"/>
        <v>5.952380952380959E-3</v>
      </c>
      <c r="I513" s="181"/>
      <c r="J513" s="170">
        <v>7</v>
      </c>
      <c r="K513" s="170" t="s">
        <v>46</v>
      </c>
      <c r="L513" s="170">
        <v>2.8</v>
      </c>
      <c r="M513" s="224">
        <v>1.1000000000000001</v>
      </c>
      <c r="N513" s="169">
        <v>1.611</v>
      </c>
      <c r="O513" s="169">
        <v>1.4E-2</v>
      </c>
      <c r="P513" s="169">
        <v>8.9999999999999993E-3</v>
      </c>
    </row>
    <row r="514" spans="2:16" ht="14" customHeight="1" x14ac:dyDescent="0.25">
      <c r="B514" s="170">
        <v>7</v>
      </c>
      <c r="C514" s="170" t="s">
        <v>471</v>
      </c>
      <c r="D514" s="168">
        <f t="shared" si="183"/>
        <v>0.29999999999999982</v>
      </c>
      <c r="E514" s="168">
        <f t="shared" si="184"/>
        <v>0.29999999999999982</v>
      </c>
      <c r="F514" s="169">
        <f t="shared" si="185"/>
        <v>0</v>
      </c>
      <c r="G514" s="169">
        <f t="shared" si="186"/>
        <v>1.030927835051546E-2</v>
      </c>
      <c r="H514" s="169">
        <f t="shared" si="187"/>
        <v>1.7857142857142849E-2</v>
      </c>
      <c r="I514" s="181"/>
      <c r="J514" s="170">
        <v>8</v>
      </c>
      <c r="K514" s="170" t="s">
        <v>471</v>
      </c>
      <c r="L514" s="170">
        <v>2.4</v>
      </c>
      <c r="M514" s="224">
        <v>2.5</v>
      </c>
      <c r="N514" s="169">
        <v>-7.2999999999999995E-2</v>
      </c>
      <c r="O514" s="169">
        <v>1.2E-2</v>
      </c>
      <c r="P514" s="169">
        <v>0.02</v>
      </c>
    </row>
    <row r="515" spans="2:16" ht="14" customHeight="1" x14ac:dyDescent="0.25">
      <c r="B515" s="170">
        <v>8</v>
      </c>
      <c r="C515" s="7" t="s">
        <v>185</v>
      </c>
      <c r="D515" s="168">
        <f t="shared" si="183"/>
        <v>0.49999999999999978</v>
      </c>
      <c r="E515" s="168">
        <f t="shared" si="184"/>
        <v>0.20000000000000007</v>
      </c>
      <c r="F515" s="169">
        <f t="shared" si="185"/>
        <v>1.4999999999999982</v>
      </c>
      <c r="G515" s="169">
        <f t="shared" si="186"/>
        <v>1.7182130584192434E-2</v>
      </c>
      <c r="H515" s="169">
        <f t="shared" si="187"/>
        <v>1.1904761904761911E-2</v>
      </c>
      <c r="I515" s="181"/>
      <c r="J515" s="170">
        <v>9</v>
      </c>
      <c r="K515" s="7" t="s">
        <v>185</v>
      </c>
      <c r="L515" s="170">
        <v>2.2999999999999998</v>
      </c>
      <c r="M515" s="224">
        <v>0.9</v>
      </c>
      <c r="N515" s="169">
        <v>1.5640000000000001</v>
      </c>
      <c r="O515" s="169">
        <v>1.2E-2</v>
      </c>
      <c r="P515" s="169">
        <v>7.0000000000000001E-3</v>
      </c>
    </row>
    <row r="516" spans="2:16" ht="14" customHeight="1" x14ac:dyDescent="0.25">
      <c r="B516" s="170">
        <v>9</v>
      </c>
      <c r="C516" s="170" t="s">
        <v>28</v>
      </c>
      <c r="D516" s="168">
        <f t="shared" si="183"/>
        <v>0.19999999999999996</v>
      </c>
      <c r="E516" s="168">
        <f t="shared" si="184"/>
        <v>0.10000000000000009</v>
      </c>
      <c r="F516" s="169">
        <f t="shared" si="185"/>
        <v>0.99999999999999778</v>
      </c>
      <c r="G516" s="169">
        <f t="shared" si="186"/>
        <v>6.8728522336769758E-3</v>
      </c>
      <c r="H516" s="169">
        <f t="shared" si="187"/>
        <v>5.952380952380959E-3</v>
      </c>
      <c r="I516" s="181"/>
      <c r="J516" s="170">
        <v>10</v>
      </c>
      <c r="K516" s="170" t="s">
        <v>28</v>
      </c>
      <c r="L516" s="170">
        <v>1.7</v>
      </c>
      <c r="M516" s="224">
        <v>1.3</v>
      </c>
      <c r="N516" s="169">
        <v>0.31</v>
      </c>
      <c r="O516" s="169">
        <v>8.9999999999999993E-3</v>
      </c>
      <c r="P516" s="169">
        <v>1.0999999999999999E-2</v>
      </c>
    </row>
    <row r="517" spans="2:16" ht="14" customHeight="1" x14ac:dyDescent="0.25">
      <c r="B517" s="340" t="s">
        <v>77</v>
      </c>
      <c r="C517" s="341"/>
      <c r="D517" s="168">
        <f t="shared" si="183"/>
        <v>0.69999999999999973</v>
      </c>
      <c r="E517" s="168">
        <f t="shared" si="184"/>
        <v>0.39999999999999991</v>
      </c>
      <c r="F517" s="169">
        <f t="shared" si="185"/>
        <v>0.74999999999999978</v>
      </c>
      <c r="G517" s="169">
        <f t="shared" si="186"/>
        <v>2.405498281786941E-2</v>
      </c>
      <c r="H517" s="169">
        <f t="shared" si="187"/>
        <v>2.3809523809523808E-2</v>
      </c>
      <c r="I517" s="180"/>
      <c r="J517" s="342" t="s">
        <v>77</v>
      </c>
      <c r="K517" s="342"/>
      <c r="L517" s="170">
        <v>4.5999999999999996</v>
      </c>
      <c r="M517" s="224">
        <v>3</v>
      </c>
      <c r="N517" s="169">
        <v>0.52600000000000002</v>
      </c>
      <c r="O517" s="169">
        <v>2.3E-2</v>
      </c>
      <c r="P517" s="169">
        <v>2.4E-2</v>
      </c>
    </row>
    <row r="518" spans="2:16" ht="14" customHeight="1" x14ac:dyDescent="0.25">
      <c r="B518" s="340" t="s">
        <v>78</v>
      </c>
      <c r="C518" s="341"/>
      <c r="D518" s="168">
        <f t="shared" si="183"/>
        <v>29.099999999999994</v>
      </c>
      <c r="E518" s="168">
        <f t="shared" si="184"/>
        <v>16.799999999999997</v>
      </c>
      <c r="F518" s="169">
        <f t="shared" si="185"/>
        <v>0.73214285714285721</v>
      </c>
      <c r="G518" s="169">
        <f t="shared" si="186"/>
        <v>1</v>
      </c>
      <c r="H518" s="169">
        <f t="shared" si="187"/>
        <v>1</v>
      </c>
      <c r="I518" s="180"/>
      <c r="J518" s="342" t="s">
        <v>78</v>
      </c>
      <c r="K518" s="342"/>
      <c r="L518" s="170">
        <v>197.6</v>
      </c>
      <c r="M518" s="224">
        <v>124.3</v>
      </c>
      <c r="N518" s="169">
        <v>0.58899999999999997</v>
      </c>
      <c r="O518" s="169">
        <v>1</v>
      </c>
      <c r="P518" s="169">
        <v>1</v>
      </c>
    </row>
    <row r="519" spans="2:16" ht="14" customHeight="1" x14ac:dyDescent="0.25">
      <c r="B519" s="21"/>
      <c r="C519" s="21"/>
      <c r="D519" s="179"/>
      <c r="E519" s="179"/>
      <c r="F519" s="180"/>
      <c r="G519" s="180"/>
      <c r="H519" s="180"/>
      <c r="I519" s="180"/>
      <c r="J519" s="21"/>
      <c r="K519" s="21"/>
      <c r="L519" s="181"/>
      <c r="M519" s="223"/>
      <c r="N519" s="180"/>
      <c r="O519" s="180"/>
      <c r="P519" s="180"/>
    </row>
    <row r="520" spans="2:16" ht="14" customHeight="1" x14ac:dyDescent="0.25">
      <c r="B520" s="10" t="s">
        <v>763</v>
      </c>
      <c r="J520" s="10" t="s">
        <v>764</v>
      </c>
    </row>
    <row r="521" spans="2:16" ht="14" customHeight="1" x14ac:dyDescent="0.25">
      <c r="B521" s="37" t="s">
        <v>96</v>
      </c>
      <c r="C521" s="7" t="s">
        <v>123</v>
      </c>
      <c r="D521" s="146">
        <v>45108</v>
      </c>
      <c r="E521" s="146">
        <v>44743</v>
      </c>
      <c r="F521" s="7" t="s">
        <v>34</v>
      </c>
      <c r="G521" s="7" t="s">
        <v>124</v>
      </c>
      <c r="H521" s="7" t="s">
        <v>176</v>
      </c>
      <c r="I521" s="15"/>
      <c r="J521" s="37" t="s">
        <v>96</v>
      </c>
      <c r="K521" s="7" t="s">
        <v>123</v>
      </c>
      <c r="L521" s="146" t="s">
        <v>765</v>
      </c>
      <c r="M521" s="146" t="s">
        <v>243</v>
      </c>
      <c r="N521" s="7" t="s">
        <v>34</v>
      </c>
      <c r="O521" s="7" t="s">
        <v>124</v>
      </c>
      <c r="P521" s="7" t="s">
        <v>176</v>
      </c>
    </row>
    <row r="522" spans="2:16" ht="14" customHeight="1" x14ac:dyDescent="0.25">
      <c r="B522" s="170">
        <v>1</v>
      </c>
      <c r="C522" s="7" t="s">
        <v>172</v>
      </c>
      <c r="D522" s="182">
        <f t="shared" ref="D522:D533" si="188">L522-L537</f>
        <v>6.3999999999999986</v>
      </c>
      <c r="E522" s="182">
        <f t="shared" ref="E522:E533" si="189">M522-M537</f>
        <v>4.1000000000000014</v>
      </c>
      <c r="F522" s="183">
        <f>(D522-E522)/E522</f>
        <v>0.56097560975609673</v>
      </c>
      <c r="G522" s="183">
        <f>D522/$D$533</f>
        <v>0.25196850393700776</v>
      </c>
      <c r="H522" s="183">
        <f t="shared" ref="H522:H533" si="190">E522/$E$533</f>
        <v>0.25949367088607611</v>
      </c>
      <c r="I522" s="181"/>
      <c r="J522" s="170">
        <v>1</v>
      </c>
      <c r="K522" s="7" t="s">
        <v>172</v>
      </c>
      <c r="L522" s="225">
        <v>47.5</v>
      </c>
      <c r="M522" s="226">
        <v>30.6</v>
      </c>
      <c r="N522" s="183">
        <v>0.55000000000000004</v>
      </c>
      <c r="O522" s="183">
        <v>0.28199999999999997</v>
      </c>
      <c r="P522" s="183">
        <v>0.28499999999999998</v>
      </c>
    </row>
    <row r="523" spans="2:16" ht="14" customHeight="1" x14ac:dyDescent="0.25">
      <c r="B523" s="170">
        <v>2</v>
      </c>
      <c r="C523" s="7" t="s">
        <v>98</v>
      </c>
      <c r="D523" s="182">
        <f t="shared" si="188"/>
        <v>7.5</v>
      </c>
      <c r="E523" s="182">
        <f t="shared" si="189"/>
        <v>3.3999999999999986</v>
      </c>
      <c r="F523" s="183">
        <f t="shared" ref="F523:F533" si="191">(D523-E523)/E523</f>
        <v>1.2058823529411773</v>
      </c>
      <c r="G523" s="183">
        <f t="shared" ref="G523:G533" si="192">D523/$D$533</f>
        <v>0.29527559055118102</v>
      </c>
      <c r="H523" s="183">
        <f t="shared" si="190"/>
        <v>0.21518987341772147</v>
      </c>
      <c r="I523" s="181"/>
      <c r="J523" s="170">
        <v>2</v>
      </c>
      <c r="K523" s="7" t="s">
        <v>98</v>
      </c>
      <c r="L523" s="225">
        <v>46.4</v>
      </c>
      <c r="M523" s="226">
        <v>22.2</v>
      </c>
      <c r="N523" s="183">
        <v>1.093</v>
      </c>
      <c r="O523" s="183">
        <v>0.27600000000000002</v>
      </c>
      <c r="P523" s="183">
        <v>0.20599999999999999</v>
      </c>
    </row>
    <row r="524" spans="2:16" ht="14" customHeight="1" x14ac:dyDescent="0.25">
      <c r="B524" s="170">
        <v>3</v>
      </c>
      <c r="C524" s="7" t="s">
        <v>102</v>
      </c>
      <c r="D524" s="182">
        <f t="shared" si="188"/>
        <v>3.6999999999999993</v>
      </c>
      <c r="E524" s="182">
        <f t="shared" si="189"/>
        <v>2.6999999999999993</v>
      </c>
      <c r="F524" s="183">
        <f t="shared" si="191"/>
        <v>0.37037037037037046</v>
      </c>
      <c r="G524" s="183">
        <f t="shared" si="192"/>
        <v>0.14566929133858261</v>
      </c>
      <c r="H524" s="183">
        <f t="shared" si="190"/>
        <v>0.17088607594936708</v>
      </c>
      <c r="I524" s="181"/>
      <c r="J524" s="170">
        <v>3</v>
      </c>
      <c r="K524" s="7" t="s">
        <v>102</v>
      </c>
      <c r="L524" s="225">
        <v>26.4</v>
      </c>
      <c r="M524" s="226">
        <v>18.899999999999999</v>
      </c>
      <c r="N524" s="183">
        <v>0.39300000000000002</v>
      </c>
      <c r="O524" s="183">
        <v>0.156</v>
      </c>
      <c r="P524" s="183">
        <v>0.17599999999999999</v>
      </c>
    </row>
    <row r="525" spans="2:16" ht="14" customHeight="1" x14ac:dyDescent="0.25">
      <c r="B525" s="170">
        <v>4</v>
      </c>
      <c r="C525" s="37" t="s">
        <v>25</v>
      </c>
      <c r="D525" s="182">
        <f t="shared" si="188"/>
        <v>3.0999999999999979</v>
      </c>
      <c r="E525" s="182">
        <f t="shared" si="189"/>
        <v>2.6000000000000014</v>
      </c>
      <c r="F525" s="183">
        <f t="shared" si="191"/>
        <v>0.19230769230769085</v>
      </c>
      <c r="G525" s="183">
        <f t="shared" si="192"/>
        <v>0.12204724409448808</v>
      </c>
      <c r="H525" s="183">
        <f t="shared" si="190"/>
        <v>0.16455696202531658</v>
      </c>
      <c r="I525" s="181"/>
      <c r="J525" s="170">
        <v>4</v>
      </c>
      <c r="K525" s="37" t="s">
        <v>25</v>
      </c>
      <c r="L525" s="225">
        <v>18.899999999999999</v>
      </c>
      <c r="M525" s="226">
        <v>16.3</v>
      </c>
      <c r="N525" s="183">
        <v>0.159</v>
      </c>
      <c r="O525" s="183">
        <v>0.112</v>
      </c>
      <c r="P525" s="183">
        <v>0.152</v>
      </c>
    </row>
    <row r="526" spans="2:16" ht="14" customHeight="1" x14ac:dyDescent="0.25">
      <c r="B526" s="170">
        <v>5</v>
      </c>
      <c r="C526" s="7" t="s">
        <v>173</v>
      </c>
      <c r="D526" s="182">
        <f t="shared" si="188"/>
        <v>2.4000000000000004</v>
      </c>
      <c r="E526" s="182">
        <f t="shared" si="189"/>
        <v>1.5</v>
      </c>
      <c r="F526" s="183">
        <f t="shared" si="191"/>
        <v>0.6000000000000002</v>
      </c>
      <c r="G526" s="183">
        <f t="shared" si="192"/>
        <v>9.4488188976377951E-2</v>
      </c>
      <c r="H526" s="183">
        <f t="shared" si="190"/>
        <v>9.4936708860759514E-2</v>
      </c>
      <c r="I526" s="181"/>
      <c r="J526" s="170">
        <v>5</v>
      </c>
      <c r="K526" s="7" t="s">
        <v>173</v>
      </c>
      <c r="L526" s="225">
        <v>14.9</v>
      </c>
      <c r="M526" s="226">
        <v>11.2</v>
      </c>
      <c r="N526" s="183">
        <v>0.32600000000000001</v>
      </c>
      <c r="O526" s="183">
        <v>8.7999999999999995E-2</v>
      </c>
      <c r="P526" s="183">
        <v>0.105</v>
      </c>
    </row>
    <row r="527" spans="2:16" ht="14" customHeight="1" x14ac:dyDescent="0.25">
      <c r="B527" s="170">
        <v>6</v>
      </c>
      <c r="C527" s="170" t="s">
        <v>69</v>
      </c>
      <c r="D527" s="182">
        <f t="shared" si="188"/>
        <v>0.40000000000000036</v>
      </c>
      <c r="E527" s="182">
        <f t="shared" si="189"/>
        <v>0.2</v>
      </c>
      <c r="F527" s="183">
        <f t="shared" si="191"/>
        <v>1.0000000000000016</v>
      </c>
      <c r="G527" s="183">
        <f t="shared" si="192"/>
        <v>1.5748031496063002E-2</v>
      </c>
      <c r="H527" s="183">
        <f t="shared" si="190"/>
        <v>1.2658227848101269E-2</v>
      </c>
      <c r="I527" s="181"/>
      <c r="J527" s="170">
        <v>6</v>
      </c>
      <c r="K527" s="170" t="s">
        <v>69</v>
      </c>
      <c r="L527" s="225">
        <v>2.7</v>
      </c>
      <c r="M527" s="226">
        <v>0.5</v>
      </c>
      <c r="N527" s="183">
        <v>4.4160000000000004</v>
      </c>
      <c r="O527" s="183">
        <v>1.6E-2</v>
      </c>
      <c r="P527" s="183">
        <v>5.0000000000000001E-3</v>
      </c>
    </row>
    <row r="528" spans="2:16" ht="14" customHeight="1" x14ac:dyDescent="0.25">
      <c r="B528" s="170">
        <v>7</v>
      </c>
      <c r="C528" s="170" t="s">
        <v>46</v>
      </c>
      <c r="D528" s="182">
        <f t="shared" si="188"/>
        <v>0.39999999999999991</v>
      </c>
      <c r="E528" s="182">
        <f t="shared" si="189"/>
        <v>0.19999999999999996</v>
      </c>
      <c r="F528" s="183">
        <f t="shared" si="191"/>
        <v>1</v>
      </c>
      <c r="G528" s="183">
        <f t="shared" si="192"/>
        <v>1.5748031496062985E-2</v>
      </c>
      <c r="H528" s="183">
        <f t="shared" si="190"/>
        <v>1.2658227848101266E-2</v>
      </c>
      <c r="I528" s="181"/>
      <c r="J528" s="170">
        <v>7</v>
      </c>
      <c r="K528" s="170" t="s">
        <v>46</v>
      </c>
      <c r="L528" s="225">
        <v>2.2999999999999998</v>
      </c>
      <c r="M528" s="226">
        <v>1</v>
      </c>
      <c r="N528" s="183">
        <v>1.3979999999999999</v>
      </c>
      <c r="O528" s="183">
        <v>1.4E-2</v>
      </c>
      <c r="P528" s="183">
        <v>8.9999999999999993E-3</v>
      </c>
    </row>
    <row r="529" spans="2:16" ht="14" customHeight="1" x14ac:dyDescent="0.25">
      <c r="B529" s="170">
        <v>8</v>
      </c>
      <c r="C529" s="170" t="s">
        <v>471</v>
      </c>
      <c r="D529" s="182">
        <f t="shared" si="188"/>
        <v>0.20000000000000018</v>
      </c>
      <c r="E529" s="182">
        <f t="shared" si="189"/>
        <v>0.30000000000000027</v>
      </c>
      <c r="F529" s="183">
        <f t="shared" si="191"/>
        <v>-0.33333333333333331</v>
      </c>
      <c r="G529" s="183">
        <f t="shared" si="192"/>
        <v>7.8740157480315012E-3</v>
      </c>
      <c r="H529" s="183">
        <f t="shared" si="190"/>
        <v>1.898734177215192E-2</v>
      </c>
      <c r="I529" s="181"/>
      <c r="J529" s="170">
        <v>8</v>
      </c>
      <c r="K529" s="170" t="s">
        <v>471</v>
      </c>
      <c r="L529" s="225">
        <v>2.1</v>
      </c>
      <c r="M529" s="226">
        <v>2.2000000000000002</v>
      </c>
      <c r="N529" s="183">
        <v>-2.4E-2</v>
      </c>
      <c r="O529" s="183">
        <v>1.2999999999999999E-2</v>
      </c>
      <c r="P529" s="183">
        <v>0.02</v>
      </c>
    </row>
    <row r="530" spans="2:16" ht="14" customHeight="1" x14ac:dyDescent="0.25">
      <c r="B530" s="170">
        <v>9</v>
      </c>
      <c r="C530" s="7" t="s">
        <v>185</v>
      </c>
      <c r="D530" s="182">
        <f t="shared" si="188"/>
        <v>0.40000000000000013</v>
      </c>
      <c r="E530" s="182">
        <f t="shared" si="189"/>
        <v>9.9999999999999978E-2</v>
      </c>
      <c r="F530" s="183">
        <f t="shared" si="191"/>
        <v>3.0000000000000022</v>
      </c>
      <c r="G530" s="183">
        <f t="shared" si="192"/>
        <v>1.5748031496062995E-2</v>
      </c>
      <c r="H530" s="183">
        <f t="shared" si="190"/>
        <v>6.3291139240506328E-3</v>
      </c>
      <c r="I530" s="181"/>
      <c r="J530" s="170">
        <v>9</v>
      </c>
      <c r="K530" s="7" t="s">
        <v>185</v>
      </c>
      <c r="L530" s="225">
        <v>1.8</v>
      </c>
      <c r="M530" s="226">
        <v>0.7</v>
      </c>
      <c r="N530" s="183">
        <v>11.448</v>
      </c>
      <c r="O530" s="183">
        <v>1.0999999999999999E-2</v>
      </c>
      <c r="P530" s="183">
        <v>7.0000000000000001E-3</v>
      </c>
    </row>
    <row r="531" spans="2:16" ht="14" customHeight="1" x14ac:dyDescent="0.25">
      <c r="B531" s="170">
        <v>10</v>
      </c>
      <c r="C531" s="170" t="s">
        <v>28</v>
      </c>
      <c r="D531" s="182">
        <f t="shared" si="188"/>
        <v>0.19999999999999996</v>
      </c>
      <c r="E531" s="182">
        <f t="shared" si="189"/>
        <v>0.19999999999999996</v>
      </c>
      <c r="F531" s="183">
        <f t="shared" si="191"/>
        <v>0</v>
      </c>
      <c r="G531" s="183">
        <f t="shared" si="192"/>
        <v>7.8740157480314925E-3</v>
      </c>
      <c r="H531" s="183">
        <f t="shared" si="190"/>
        <v>1.2658227848101266E-2</v>
      </c>
      <c r="I531" s="181"/>
      <c r="J531" s="170">
        <v>10</v>
      </c>
      <c r="K531" s="170" t="s">
        <v>28</v>
      </c>
      <c r="L531" s="225">
        <v>1.5</v>
      </c>
      <c r="M531" s="226">
        <v>1.2</v>
      </c>
      <c r="N531" s="183">
        <v>0.27600000000000002</v>
      </c>
      <c r="O531" s="183">
        <v>8.9999999999999993E-3</v>
      </c>
      <c r="P531" s="183">
        <v>1.0999999999999999E-2</v>
      </c>
    </row>
    <row r="532" spans="2:16" ht="14" customHeight="1" x14ac:dyDescent="0.25">
      <c r="B532" s="340" t="s">
        <v>77</v>
      </c>
      <c r="C532" s="341"/>
      <c r="D532" s="182">
        <f t="shared" si="188"/>
        <v>0.60000000000000009</v>
      </c>
      <c r="E532" s="182">
        <f t="shared" si="189"/>
        <v>0.39999999999999991</v>
      </c>
      <c r="F532" s="183">
        <f t="shared" si="191"/>
        <v>0.50000000000000056</v>
      </c>
      <c r="G532" s="183">
        <f t="shared" si="192"/>
        <v>2.3622047244094488E-2</v>
      </c>
      <c r="H532" s="183">
        <f t="shared" si="190"/>
        <v>2.5316455696202531E-2</v>
      </c>
      <c r="I532" s="180"/>
      <c r="J532" s="342" t="s">
        <v>77</v>
      </c>
      <c r="K532" s="342"/>
      <c r="L532" s="225">
        <v>3.9</v>
      </c>
      <c r="M532" s="226">
        <v>2.6</v>
      </c>
      <c r="N532" s="183">
        <v>5.3550000000000004</v>
      </c>
      <c r="O532" s="183">
        <v>2.3E-2</v>
      </c>
      <c r="P532" s="183">
        <v>2.4E-2</v>
      </c>
    </row>
    <row r="533" spans="2:16" ht="14" customHeight="1" x14ac:dyDescent="0.25">
      <c r="B533" s="340" t="s">
        <v>78</v>
      </c>
      <c r="C533" s="341"/>
      <c r="D533" s="182">
        <f t="shared" si="188"/>
        <v>25.400000000000006</v>
      </c>
      <c r="E533" s="182">
        <f t="shared" si="189"/>
        <v>15.799999999999997</v>
      </c>
      <c r="F533" s="183">
        <f t="shared" si="191"/>
        <v>0.60759493670886144</v>
      </c>
      <c r="G533" s="183">
        <f t="shared" si="192"/>
        <v>1</v>
      </c>
      <c r="H533" s="183">
        <f t="shared" si="190"/>
        <v>1</v>
      </c>
      <c r="I533" s="180"/>
      <c r="J533" s="342" t="s">
        <v>78</v>
      </c>
      <c r="K533" s="342"/>
      <c r="L533" s="225">
        <v>168.5</v>
      </c>
      <c r="M533" s="226">
        <v>107.5</v>
      </c>
      <c r="N533" s="183">
        <v>0.56799999999999995</v>
      </c>
      <c r="O533" s="183">
        <v>1</v>
      </c>
      <c r="P533" s="183">
        <v>1</v>
      </c>
    </row>
    <row r="534" spans="2:16" ht="14" customHeight="1" x14ac:dyDescent="0.25">
      <c r="B534" s="10"/>
    </row>
    <row r="535" spans="2:16" ht="14" customHeight="1" x14ac:dyDescent="0.25">
      <c r="B535" s="10" t="s">
        <v>766</v>
      </c>
      <c r="J535" s="10" t="s">
        <v>767</v>
      </c>
    </row>
    <row r="536" spans="2:16" ht="14" customHeight="1" x14ac:dyDescent="0.25">
      <c r="B536" s="37" t="s">
        <v>96</v>
      </c>
      <c r="C536" s="7" t="s">
        <v>123</v>
      </c>
      <c r="D536" s="146">
        <v>45078</v>
      </c>
      <c r="E536" s="146">
        <v>44713</v>
      </c>
      <c r="F536" s="7" t="s">
        <v>34</v>
      </c>
      <c r="G536" s="7" t="s">
        <v>124</v>
      </c>
      <c r="H536" s="7" t="s">
        <v>176</v>
      </c>
      <c r="I536" s="15"/>
      <c r="J536" s="37" t="s">
        <v>96</v>
      </c>
      <c r="K536" s="7" t="s">
        <v>123</v>
      </c>
      <c r="L536" s="146" t="s">
        <v>768</v>
      </c>
      <c r="M536" s="146" t="s">
        <v>769</v>
      </c>
      <c r="N536" s="7" t="s">
        <v>34</v>
      </c>
      <c r="O536" s="7" t="s">
        <v>124</v>
      </c>
      <c r="P536" s="7" t="s">
        <v>176</v>
      </c>
    </row>
    <row r="537" spans="2:16" ht="14" customHeight="1" x14ac:dyDescent="0.25">
      <c r="B537" s="170">
        <v>1</v>
      </c>
      <c r="C537" s="7" t="s">
        <v>172</v>
      </c>
      <c r="D537" s="182">
        <f t="shared" ref="D537:E542" si="193">L537-L552</f>
        <v>10.600000000000001</v>
      </c>
      <c r="E537" s="182">
        <f t="shared" si="193"/>
        <v>6.5</v>
      </c>
      <c r="F537" s="183">
        <f t="shared" ref="F537:F541" si="194">(D537-E537)/E537</f>
        <v>0.63076923076923097</v>
      </c>
      <c r="G537" s="183">
        <f>D537/$D$548</f>
        <v>0.33650793650793653</v>
      </c>
      <c r="H537" s="183">
        <f>E537/$E$548</f>
        <v>0.35135135135135137</v>
      </c>
      <c r="I537" s="181"/>
      <c r="J537" s="170">
        <v>1</v>
      </c>
      <c r="K537" s="7" t="s">
        <v>172</v>
      </c>
      <c r="L537" s="225">
        <v>41.1</v>
      </c>
      <c r="M537" s="226">
        <v>26.5</v>
      </c>
      <c r="N537" s="183">
        <v>0.55100000000000005</v>
      </c>
      <c r="O537" s="183">
        <v>0.28699999999999998</v>
      </c>
      <c r="P537" s="183">
        <v>0.28899999999999998</v>
      </c>
    </row>
    <row r="538" spans="2:16" ht="14" customHeight="1" x14ac:dyDescent="0.25">
      <c r="B538" s="170">
        <v>2</v>
      </c>
      <c r="C538" s="7" t="s">
        <v>98</v>
      </c>
      <c r="D538" s="182">
        <f t="shared" si="193"/>
        <v>8.3999999999999986</v>
      </c>
      <c r="E538" s="182">
        <f t="shared" si="193"/>
        <v>3.9000000000000004</v>
      </c>
      <c r="F538" s="183">
        <f t="shared" si="194"/>
        <v>1.1538461538461533</v>
      </c>
      <c r="G538" s="183">
        <f t="shared" ref="G538:G548" si="195">D538/$D$548</f>
        <v>0.26666666666666661</v>
      </c>
      <c r="H538" s="183">
        <f t="shared" ref="H538:H548" si="196">E538/$E$548</f>
        <v>0.21081081081081082</v>
      </c>
      <c r="I538" s="181"/>
      <c r="J538" s="170">
        <v>2</v>
      </c>
      <c r="K538" s="7" t="s">
        <v>98</v>
      </c>
      <c r="L538" s="225">
        <v>38.9</v>
      </c>
      <c r="M538" s="226">
        <v>18.8</v>
      </c>
      <c r="N538" s="183">
        <v>1.071</v>
      </c>
      <c r="O538" s="183">
        <v>0.27200000000000002</v>
      </c>
      <c r="P538" s="183">
        <v>0.20499999999999999</v>
      </c>
    </row>
    <row r="539" spans="2:16" ht="14" customHeight="1" x14ac:dyDescent="0.25">
      <c r="B539" s="170">
        <v>3</v>
      </c>
      <c r="C539" s="7" t="s">
        <v>102</v>
      </c>
      <c r="D539" s="182">
        <f t="shared" si="193"/>
        <v>3.8000000000000007</v>
      </c>
      <c r="E539" s="182">
        <f t="shared" si="193"/>
        <v>2.5</v>
      </c>
      <c r="F539" s="183">
        <f t="shared" si="194"/>
        <v>0.52000000000000024</v>
      </c>
      <c r="G539" s="183">
        <f t="shared" si="195"/>
        <v>0.12063492063492066</v>
      </c>
      <c r="H539" s="183">
        <f t="shared" si="196"/>
        <v>0.13513513513513514</v>
      </c>
      <c r="I539" s="181"/>
      <c r="J539" s="170">
        <v>3</v>
      </c>
      <c r="K539" s="7" t="s">
        <v>102</v>
      </c>
      <c r="L539" s="225">
        <v>22.7</v>
      </c>
      <c r="M539" s="226">
        <v>16.2</v>
      </c>
      <c r="N539" s="183">
        <v>0.40100000000000002</v>
      </c>
      <c r="O539" s="183">
        <v>0.158</v>
      </c>
      <c r="P539" s="183">
        <v>0.17599999999999999</v>
      </c>
    </row>
    <row r="540" spans="2:16" ht="14" customHeight="1" x14ac:dyDescent="0.25">
      <c r="B540" s="170">
        <v>4</v>
      </c>
      <c r="C540" s="37" t="s">
        <v>25</v>
      </c>
      <c r="D540" s="182">
        <f t="shared" si="193"/>
        <v>3.5</v>
      </c>
      <c r="E540" s="182">
        <f t="shared" si="193"/>
        <v>2.2999999999999989</v>
      </c>
      <c r="F540" s="183">
        <f t="shared" si="194"/>
        <v>0.52173913043478326</v>
      </c>
      <c r="G540" s="183">
        <f t="shared" si="195"/>
        <v>0.1111111111111111</v>
      </c>
      <c r="H540" s="183">
        <f t="shared" si="196"/>
        <v>0.12432432432432426</v>
      </c>
      <c r="I540" s="181"/>
      <c r="J540" s="170">
        <v>4</v>
      </c>
      <c r="K540" s="37" t="s">
        <v>25</v>
      </c>
      <c r="L540" s="225">
        <v>15.8</v>
      </c>
      <c r="M540" s="226">
        <v>13.7</v>
      </c>
      <c r="N540" s="183">
        <v>0.157</v>
      </c>
      <c r="O540" s="183">
        <v>0.111</v>
      </c>
      <c r="P540" s="183">
        <v>0.14899999999999999</v>
      </c>
    </row>
    <row r="541" spans="2:16" ht="14" customHeight="1" x14ac:dyDescent="0.25">
      <c r="B541" s="170">
        <v>5</v>
      </c>
      <c r="C541" s="7" t="s">
        <v>173</v>
      </c>
      <c r="D541" s="182">
        <f t="shared" si="193"/>
        <v>2.6999999999999993</v>
      </c>
      <c r="E541" s="182">
        <f t="shared" si="193"/>
        <v>2.0999999999999996</v>
      </c>
      <c r="F541" s="183">
        <f t="shared" si="194"/>
        <v>0.28571428571428559</v>
      </c>
      <c r="G541" s="183">
        <f t="shared" si="195"/>
        <v>8.5714285714285687E-2</v>
      </c>
      <c r="H541" s="183">
        <f t="shared" si="196"/>
        <v>0.11351351351351349</v>
      </c>
      <c r="I541" s="181"/>
      <c r="J541" s="170">
        <v>5</v>
      </c>
      <c r="K541" s="7" t="s">
        <v>173</v>
      </c>
      <c r="L541" s="225">
        <v>12.5</v>
      </c>
      <c r="M541" s="226">
        <v>9.6999999999999993</v>
      </c>
      <c r="N541" s="183">
        <v>0.28799999999999998</v>
      </c>
      <c r="O541" s="183">
        <v>8.6999999999999994E-2</v>
      </c>
      <c r="P541" s="183">
        <v>0.106</v>
      </c>
    </row>
    <row r="542" spans="2:16" ht="14" customHeight="1" x14ac:dyDescent="0.25">
      <c r="B542" s="170">
        <v>6</v>
      </c>
      <c r="C542" s="170" t="s">
        <v>69</v>
      </c>
      <c r="D542" s="182">
        <f t="shared" si="193"/>
        <v>0.59999999999999987</v>
      </c>
      <c r="E542" s="182">
        <f t="shared" si="193"/>
        <v>0</v>
      </c>
      <c r="F542" s="183" t="e">
        <f t="shared" ref="F542:F548" si="197">(D542-E542)/E542</f>
        <v>#DIV/0!</v>
      </c>
      <c r="G542" s="183">
        <f t="shared" si="195"/>
        <v>1.9047619047619042E-2</v>
      </c>
      <c r="H542" s="183">
        <f t="shared" si="196"/>
        <v>0</v>
      </c>
      <c r="I542" s="181"/>
      <c r="J542" s="170">
        <v>6</v>
      </c>
      <c r="K542" s="170" t="s">
        <v>69</v>
      </c>
      <c r="L542" s="225">
        <v>2.2999999999999998</v>
      </c>
      <c r="M542" s="226">
        <v>0.3</v>
      </c>
      <c r="N542" s="183">
        <v>5.8840000000000003</v>
      </c>
      <c r="O542" s="183">
        <v>1.6E-2</v>
      </c>
      <c r="P542" s="183">
        <v>4.0000000000000001E-3</v>
      </c>
    </row>
    <row r="543" spans="2:16" ht="14" customHeight="1" x14ac:dyDescent="0.25">
      <c r="B543" s="170">
        <v>7</v>
      </c>
      <c r="C543" s="170" t="s">
        <v>46</v>
      </c>
      <c r="D543" s="182">
        <f>L543-L559</f>
        <v>0.39999999999999991</v>
      </c>
      <c r="E543" s="182">
        <f>M543-M559</f>
        <v>0.20000000000000007</v>
      </c>
      <c r="F543" s="183">
        <f t="shared" si="197"/>
        <v>0.99999999999999889</v>
      </c>
      <c r="G543" s="183">
        <f t="shared" si="195"/>
        <v>1.2698412698412695E-2</v>
      </c>
      <c r="H543" s="183">
        <f t="shared" si="196"/>
        <v>1.0810810810810815E-2</v>
      </c>
      <c r="I543" s="181"/>
      <c r="J543" s="170">
        <v>7</v>
      </c>
      <c r="K543" s="170" t="s">
        <v>46</v>
      </c>
      <c r="L543" s="225">
        <v>1.9</v>
      </c>
      <c r="M543" s="226">
        <v>0.8</v>
      </c>
      <c r="N543" s="183">
        <v>1.2390000000000001</v>
      </c>
      <c r="O543" s="183">
        <v>1.2999999999999999E-2</v>
      </c>
      <c r="P543" s="183">
        <v>8.9999999999999993E-3</v>
      </c>
    </row>
    <row r="544" spans="2:16" ht="14" customHeight="1" x14ac:dyDescent="0.25">
      <c r="B544" s="170">
        <v>8</v>
      </c>
      <c r="C544" s="170" t="s">
        <v>471</v>
      </c>
      <c r="D544" s="182">
        <f>L544-L558</f>
        <v>0.29999999999999982</v>
      </c>
      <c r="E544" s="182">
        <f>M544-M558</f>
        <v>0.29999999999999982</v>
      </c>
      <c r="F544" s="183">
        <f t="shared" si="197"/>
        <v>0</v>
      </c>
      <c r="G544" s="183">
        <f t="shared" si="195"/>
        <v>9.5238095238095177E-3</v>
      </c>
      <c r="H544" s="183">
        <f t="shared" si="196"/>
        <v>1.6216216216216207E-2</v>
      </c>
      <c r="I544" s="181"/>
      <c r="J544" s="170">
        <v>8</v>
      </c>
      <c r="K544" s="170" t="s">
        <v>471</v>
      </c>
      <c r="L544" s="225">
        <v>1.9</v>
      </c>
      <c r="M544" s="226">
        <v>1.9</v>
      </c>
      <c r="N544" s="183">
        <v>1.2999999999999999E-2</v>
      </c>
      <c r="O544" s="183">
        <v>1.2999999999999999E-2</v>
      </c>
      <c r="P544" s="183">
        <v>0.02</v>
      </c>
    </row>
    <row r="545" spans="2:16" ht="14" customHeight="1" x14ac:dyDescent="0.25">
      <c r="B545" s="170">
        <v>9</v>
      </c>
      <c r="C545" s="7" t="s">
        <v>185</v>
      </c>
      <c r="D545" s="182">
        <f t="shared" ref="D545:E548" si="198">L545-L560</f>
        <v>0.39999999999999991</v>
      </c>
      <c r="E545" s="182">
        <f t="shared" si="198"/>
        <v>9.9999999999999978E-2</v>
      </c>
      <c r="F545" s="183">
        <f t="shared" si="197"/>
        <v>3</v>
      </c>
      <c r="G545" s="183">
        <f t="shared" si="195"/>
        <v>1.2698412698412695E-2</v>
      </c>
      <c r="H545" s="183">
        <f t="shared" si="196"/>
        <v>5.405405405405404E-3</v>
      </c>
      <c r="I545" s="181"/>
      <c r="J545" s="170">
        <v>9</v>
      </c>
      <c r="K545" s="7" t="s">
        <v>185</v>
      </c>
      <c r="L545" s="225">
        <v>1.4</v>
      </c>
      <c r="M545" s="226">
        <v>0.6</v>
      </c>
      <c r="N545" s="183">
        <v>1.431</v>
      </c>
      <c r="O545" s="183">
        <v>0.01</v>
      </c>
      <c r="P545" s="183">
        <v>7.0000000000000001E-3</v>
      </c>
    </row>
    <row r="546" spans="2:16" ht="14" customHeight="1" x14ac:dyDescent="0.25">
      <c r="B546" s="170">
        <v>10</v>
      </c>
      <c r="C546" s="170" t="s">
        <v>28</v>
      </c>
      <c r="D546" s="182">
        <f t="shared" si="198"/>
        <v>0.30000000000000004</v>
      </c>
      <c r="E546" s="182">
        <f t="shared" si="198"/>
        <v>9.9999999999999978E-2</v>
      </c>
      <c r="F546" s="183">
        <f t="shared" si="197"/>
        <v>2.0000000000000013</v>
      </c>
      <c r="G546" s="183">
        <f t="shared" si="195"/>
        <v>9.5238095238095247E-3</v>
      </c>
      <c r="H546" s="183">
        <f t="shared" si="196"/>
        <v>5.405405405405404E-3</v>
      </c>
      <c r="I546" s="181"/>
      <c r="J546" s="170">
        <v>10</v>
      </c>
      <c r="K546" s="170" t="s">
        <v>28</v>
      </c>
      <c r="L546" s="225">
        <v>1.3</v>
      </c>
      <c r="M546" s="226">
        <v>1</v>
      </c>
      <c r="N546" s="183">
        <v>0.22900000000000001</v>
      </c>
      <c r="O546" s="183">
        <v>8.9999999999999993E-3</v>
      </c>
      <c r="P546" s="183">
        <v>1.0999999999999999E-2</v>
      </c>
    </row>
    <row r="547" spans="2:16" ht="14" customHeight="1" x14ac:dyDescent="0.25">
      <c r="B547" s="340" t="s">
        <v>77</v>
      </c>
      <c r="C547" s="341"/>
      <c r="D547" s="182">
        <f t="shared" si="198"/>
        <v>0.69999999999999973</v>
      </c>
      <c r="E547" s="182">
        <f t="shared" si="198"/>
        <v>0.40000000000000013</v>
      </c>
      <c r="F547" s="183">
        <f t="shared" si="197"/>
        <v>0.74999999999999878</v>
      </c>
      <c r="G547" s="183">
        <f t="shared" si="195"/>
        <v>2.2222222222222213E-2</v>
      </c>
      <c r="H547" s="183">
        <f t="shared" si="196"/>
        <v>2.162162162162163E-2</v>
      </c>
      <c r="I547" s="180"/>
      <c r="J547" s="342" t="s">
        <v>77</v>
      </c>
      <c r="K547" s="342"/>
      <c r="L547" s="225">
        <v>3.3</v>
      </c>
      <c r="M547" s="226">
        <v>2.2000000000000002</v>
      </c>
      <c r="N547" s="183">
        <v>0.497</v>
      </c>
      <c r="O547" s="183">
        <v>2.3E-2</v>
      </c>
      <c r="P547" s="183">
        <v>2.4E-2</v>
      </c>
    </row>
    <row r="548" spans="2:16" ht="14" customHeight="1" x14ac:dyDescent="0.25">
      <c r="B548" s="340" t="s">
        <v>78</v>
      </c>
      <c r="C548" s="341"/>
      <c r="D548" s="182">
        <f t="shared" si="198"/>
        <v>31.5</v>
      </c>
      <c r="E548" s="182">
        <f t="shared" si="198"/>
        <v>18.5</v>
      </c>
      <c r="F548" s="183">
        <f t="shared" si="197"/>
        <v>0.70270270270270274</v>
      </c>
      <c r="G548" s="183">
        <f t="shared" si="195"/>
        <v>1</v>
      </c>
      <c r="H548" s="183">
        <f t="shared" si="196"/>
        <v>1</v>
      </c>
      <c r="I548" s="180"/>
      <c r="J548" s="342" t="s">
        <v>78</v>
      </c>
      <c r="K548" s="342"/>
      <c r="L548" s="225">
        <v>143.1</v>
      </c>
      <c r="M548" s="226">
        <v>91.7</v>
      </c>
      <c r="N548" s="183">
        <v>0.56000000000000005</v>
      </c>
      <c r="O548" s="183">
        <v>1</v>
      </c>
      <c r="P548" s="183">
        <v>1</v>
      </c>
    </row>
    <row r="549" spans="2:16" ht="14" customHeight="1" x14ac:dyDescent="0.25">
      <c r="B549" s="10"/>
    </row>
    <row r="550" spans="2:16" ht="14" customHeight="1" x14ac:dyDescent="0.25">
      <c r="B550" s="10" t="s">
        <v>770</v>
      </c>
      <c r="J550" s="10" t="s">
        <v>771</v>
      </c>
    </row>
    <row r="551" spans="2:16" ht="14" customHeight="1" x14ac:dyDescent="0.25">
      <c r="B551" s="37" t="s">
        <v>96</v>
      </c>
      <c r="C551" s="7" t="s">
        <v>123</v>
      </c>
      <c r="D551" s="146">
        <v>45047</v>
      </c>
      <c r="E551" s="146">
        <v>44682</v>
      </c>
      <c r="F551" s="7" t="s">
        <v>34</v>
      </c>
      <c r="G551" s="7" t="s">
        <v>124</v>
      </c>
      <c r="H551" s="7" t="s">
        <v>176</v>
      </c>
      <c r="I551" s="15"/>
      <c r="J551" s="37" t="s">
        <v>96</v>
      </c>
      <c r="K551" s="7" t="s">
        <v>123</v>
      </c>
      <c r="L551" s="146" t="s">
        <v>772</v>
      </c>
      <c r="M551" s="146" t="s">
        <v>248</v>
      </c>
      <c r="N551" s="7" t="s">
        <v>34</v>
      </c>
      <c r="O551" s="7" t="s">
        <v>124</v>
      </c>
      <c r="P551" s="7" t="s">
        <v>176</v>
      </c>
    </row>
    <row r="552" spans="2:16" ht="14" customHeight="1" x14ac:dyDescent="0.25">
      <c r="B552" s="170">
        <v>1</v>
      </c>
      <c r="C552" s="7" t="s">
        <v>98</v>
      </c>
      <c r="D552" s="182">
        <v>7.5</v>
      </c>
      <c r="E552" s="182">
        <v>3.2</v>
      </c>
      <c r="F552" s="183">
        <f t="shared" ref="F552:F563" si="199">(D552-E552)/E552</f>
        <v>1.3437499999999998</v>
      </c>
      <c r="G552" s="183">
        <f>D552/$D$563</f>
        <v>0.30120481927710852</v>
      </c>
      <c r="H552" s="183">
        <f>E552/$E$563</f>
        <v>0.21052631578947364</v>
      </c>
      <c r="I552" s="181"/>
      <c r="J552" s="170">
        <v>1</v>
      </c>
      <c r="K552" s="7" t="s">
        <v>172</v>
      </c>
      <c r="L552" s="225">
        <v>30.5</v>
      </c>
      <c r="M552" s="226">
        <v>20</v>
      </c>
      <c r="N552" s="183">
        <v>0.52700000000000002</v>
      </c>
      <c r="O552" s="183">
        <v>0.27400000000000002</v>
      </c>
      <c r="P552" s="183">
        <v>0.27300000000000002</v>
      </c>
    </row>
    <row r="553" spans="2:16" ht="14" customHeight="1" x14ac:dyDescent="0.25">
      <c r="B553" s="170">
        <v>2</v>
      </c>
      <c r="C553" s="7" t="s">
        <v>172</v>
      </c>
      <c r="D553" s="182">
        <v>6.4</v>
      </c>
      <c r="E553" s="182">
        <v>3.9</v>
      </c>
      <c r="F553" s="183">
        <f t="shared" si="199"/>
        <v>0.64102564102564119</v>
      </c>
      <c r="G553" s="183">
        <f t="shared" ref="G553:G563" si="200">D553/$D$563</f>
        <v>0.25702811244979928</v>
      </c>
      <c r="H553" s="183">
        <f t="shared" ref="H553:H563" si="201">E553/$E$563</f>
        <v>0.25657894736842102</v>
      </c>
      <c r="I553" s="181"/>
      <c r="J553" s="170">
        <v>2</v>
      </c>
      <c r="K553" s="7" t="s">
        <v>98</v>
      </c>
      <c r="L553" s="225">
        <v>30.5</v>
      </c>
      <c r="M553" s="226">
        <v>14.9</v>
      </c>
      <c r="N553" s="183">
        <v>1.0449999999999999</v>
      </c>
      <c r="O553" s="183">
        <v>0.27300000000000002</v>
      </c>
      <c r="P553" s="183">
        <v>0.20399999999999999</v>
      </c>
    </row>
    <row r="554" spans="2:16" ht="14" customHeight="1" x14ac:dyDescent="0.25">
      <c r="B554" s="170">
        <v>3</v>
      </c>
      <c r="C554" s="7" t="s">
        <v>102</v>
      </c>
      <c r="D554" s="182">
        <f t="shared" ref="D554:E556" si="202">L554-L569</f>
        <v>3.9999999999999982</v>
      </c>
      <c r="E554" s="182">
        <f t="shared" si="202"/>
        <v>2.7999999999999989</v>
      </c>
      <c r="F554" s="183">
        <f t="shared" si="199"/>
        <v>0.42857142857142849</v>
      </c>
      <c r="G554" s="183">
        <f t="shared" si="200"/>
        <v>0.16064257028112447</v>
      </c>
      <c r="H554" s="183">
        <f t="shared" si="201"/>
        <v>0.18421052631578938</v>
      </c>
      <c r="I554" s="181"/>
      <c r="J554" s="170">
        <v>3</v>
      </c>
      <c r="K554" s="7" t="s">
        <v>102</v>
      </c>
      <c r="L554" s="225">
        <v>18.899999999999999</v>
      </c>
      <c r="M554" s="226">
        <v>13.7</v>
      </c>
      <c r="N554" s="183">
        <v>0.379</v>
      </c>
      <c r="O554" s="183">
        <v>0.17</v>
      </c>
      <c r="P554" s="183">
        <v>0.187</v>
      </c>
    </row>
    <row r="555" spans="2:16" ht="14" customHeight="1" x14ac:dyDescent="0.25">
      <c r="B555" s="170">
        <v>4</v>
      </c>
      <c r="C555" s="37" t="s">
        <v>25</v>
      </c>
      <c r="D555" s="182">
        <f t="shared" si="202"/>
        <v>2.8000000000000007</v>
      </c>
      <c r="E555" s="182">
        <f t="shared" si="202"/>
        <v>2.4000000000000004</v>
      </c>
      <c r="F555" s="183">
        <f t="shared" si="199"/>
        <v>0.1666666666666668</v>
      </c>
      <c r="G555" s="183">
        <f t="shared" si="200"/>
        <v>0.11244979919678721</v>
      </c>
      <c r="H555" s="183">
        <f t="shared" si="201"/>
        <v>0.15789473684210525</v>
      </c>
      <c r="I555" s="181"/>
      <c r="J555" s="170">
        <v>4</v>
      </c>
      <c r="K555" s="37" t="s">
        <v>25</v>
      </c>
      <c r="L555" s="225">
        <v>12.3</v>
      </c>
      <c r="M555" s="226">
        <v>11.4</v>
      </c>
      <c r="N555" s="183">
        <v>8.5000000000000006E-2</v>
      </c>
      <c r="O555" s="183">
        <v>0.111</v>
      </c>
      <c r="P555" s="183">
        <v>0.155</v>
      </c>
    </row>
    <row r="556" spans="2:16" ht="14" customHeight="1" x14ac:dyDescent="0.25">
      <c r="B556" s="170">
        <v>5</v>
      </c>
      <c r="C556" s="7" t="s">
        <v>173</v>
      </c>
      <c r="D556" s="182">
        <f t="shared" si="202"/>
        <v>2.3000000000000007</v>
      </c>
      <c r="E556" s="182">
        <f t="shared" si="202"/>
        <v>1.7999999999999998</v>
      </c>
      <c r="F556" s="183">
        <f t="shared" si="199"/>
        <v>0.27777777777777829</v>
      </c>
      <c r="G556" s="183">
        <f t="shared" si="200"/>
        <v>9.2369477911646652E-2</v>
      </c>
      <c r="H556" s="183">
        <f t="shared" si="201"/>
        <v>0.11842105263157891</v>
      </c>
      <c r="I556" s="181"/>
      <c r="J556" s="170">
        <v>5</v>
      </c>
      <c r="K556" s="7" t="s">
        <v>173</v>
      </c>
      <c r="L556" s="225">
        <v>9.8000000000000007</v>
      </c>
      <c r="M556" s="226">
        <v>7.6</v>
      </c>
      <c r="N556" s="183">
        <v>0.29599999999999999</v>
      </c>
      <c r="O556" s="183">
        <v>8.7999999999999995E-2</v>
      </c>
      <c r="P556" s="183">
        <v>0.10299999999999999</v>
      </c>
    </row>
    <row r="557" spans="2:16" ht="14" customHeight="1" x14ac:dyDescent="0.25">
      <c r="B557" s="170">
        <v>6</v>
      </c>
      <c r="C557" s="170" t="s">
        <v>46</v>
      </c>
      <c r="D557" s="182">
        <v>0.4</v>
      </c>
      <c r="E557" s="182">
        <f>M557-M572</f>
        <v>9.9999999999999978E-2</v>
      </c>
      <c r="F557" s="183">
        <f t="shared" si="199"/>
        <v>3.0000000000000013</v>
      </c>
      <c r="G557" s="183">
        <f t="shared" si="200"/>
        <v>1.6064257028112455E-2</v>
      </c>
      <c r="H557" s="183">
        <f t="shared" si="201"/>
        <v>6.5789473684210497E-3</v>
      </c>
      <c r="I557" s="181"/>
      <c r="J557" s="170">
        <v>6</v>
      </c>
      <c r="K557" s="170" t="s">
        <v>69</v>
      </c>
      <c r="L557" s="225">
        <v>1.7</v>
      </c>
      <c r="M557" s="226">
        <v>0.3</v>
      </c>
      <c r="N557" s="183">
        <v>5.4050000000000002</v>
      </c>
      <c r="O557" s="183">
        <v>1.6E-2</v>
      </c>
      <c r="P557" s="183">
        <v>4.0000000000000001E-3</v>
      </c>
    </row>
    <row r="558" spans="2:16" ht="14" customHeight="1" x14ac:dyDescent="0.25">
      <c r="B558" s="170">
        <v>7</v>
      </c>
      <c r="C558" s="170" t="s">
        <v>69</v>
      </c>
      <c r="D558" s="182">
        <v>0.3</v>
      </c>
      <c r="E558" s="182">
        <v>0.1</v>
      </c>
      <c r="F558" s="183">
        <f t="shared" si="199"/>
        <v>1.9999999999999998</v>
      </c>
      <c r="G558" s="183">
        <f t="shared" si="200"/>
        <v>1.2048192771084341E-2</v>
      </c>
      <c r="H558" s="183">
        <f t="shared" si="201"/>
        <v>6.5789473684210514E-3</v>
      </c>
      <c r="I558" s="181"/>
      <c r="J558" s="170">
        <v>7</v>
      </c>
      <c r="K558" s="170" t="s">
        <v>471</v>
      </c>
      <c r="L558" s="225">
        <v>1.6</v>
      </c>
      <c r="M558" s="226">
        <v>1.6</v>
      </c>
      <c r="N558" s="183">
        <v>1.4E-2</v>
      </c>
      <c r="O558" s="183">
        <v>1.4E-2</v>
      </c>
      <c r="P558" s="183">
        <v>2.1999999999999999E-2</v>
      </c>
    </row>
    <row r="559" spans="2:16" ht="14" customHeight="1" x14ac:dyDescent="0.25">
      <c r="B559" s="170">
        <v>8</v>
      </c>
      <c r="C559" s="170" t="s">
        <v>471</v>
      </c>
      <c r="D559" s="182">
        <v>0.2</v>
      </c>
      <c r="E559" s="182">
        <v>0.2</v>
      </c>
      <c r="F559" s="183">
        <f t="shared" si="199"/>
        <v>0</v>
      </c>
      <c r="G559" s="183">
        <f t="shared" si="200"/>
        <v>8.0321285140562276E-3</v>
      </c>
      <c r="H559" s="183">
        <f t="shared" si="201"/>
        <v>1.3157894736842103E-2</v>
      </c>
      <c r="I559" s="181"/>
      <c r="J559" s="170">
        <v>8</v>
      </c>
      <c r="K559" s="170" t="s">
        <v>46</v>
      </c>
      <c r="L559" s="225">
        <v>1.5</v>
      </c>
      <c r="M559" s="226">
        <v>0.6</v>
      </c>
      <c r="N559" s="183">
        <v>1.2969999999999999</v>
      </c>
      <c r="O559" s="183">
        <v>1.2999999999999999E-2</v>
      </c>
      <c r="P559" s="183">
        <v>8.9999999999999993E-3</v>
      </c>
    </row>
    <row r="560" spans="2:16" ht="14" customHeight="1" x14ac:dyDescent="0.25">
      <c r="B560" s="170">
        <v>9</v>
      </c>
      <c r="C560" s="7" t="s">
        <v>28</v>
      </c>
      <c r="D560" s="182">
        <v>0.2</v>
      </c>
      <c r="E560" s="182">
        <f>M560-M575</f>
        <v>0.2</v>
      </c>
      <c r="F560" s="183">
        <f t="shared" si="199"/>
        <v>0</v>
      </c>
      <c r="G560" s="183">
        <f t="shared" si="200"/>
        <v>8.0321285140562276E-3</v>
      </c>
      <c r="H560" s="183">
        <f t="shared" si="201"/>
        <v>1.3157894736842103E-2</v>
      </c>
      <c r="I560" s="181"/>
      <c r="J560" s="170">
        <v>9</v>
      </c>
      <c r="K560" s="7" t="s">
        <v>185</v>
      </c>
      <c r="L560" s="225">
        <v>1</v>
      </c>
      <c r="M560" s="226">
        <v>0.5</v>
      </c>
      <c r="N560" s="183">
        <v>1.234</v>
      </c>
      <c r="O560" s="183">
        <v>8.9999999999999993E-3</v>
      </c>
      <c r="P560" s="183">
        <v>6.0000000000000001E-3</v>
      </c>
    </row>
    <row r="561" spans="2:16" ht="14" customHeight="1" x14ac:dyDescent="0.25">
      <c r="B561" s="170">
        <v>10</v>
      </c>
      <c r="C561" s="7" t="s">
        <v>185</v>
      </c>
      <c r="D561" s="182">
        <v>0.1</v>
      </c>
      <c r="E561" s="182">
        <f>M561-M576</f>
        <v>0.20000000000000007</v>
      </c>
      <c r="F561" s="183">
        <f t="shared" si="199"/>
        <v>-0.50000000000000011</v>
      </c>
      <c r="G561" s="183">
        <f t="shared" si="200"/>
        <v>4.0160642570281138E-3</v>
      </c>
      <c r="H561" s="183">
        <f t="shared" si="201"/>
        <v>1.3157894736842108E-2</v>
      </c>
      <c r="I561" s="181"/>
      <c r="J561" s="170">
        <v>10</v>
      </c>
      <c r="K561" s="170" t="s">
        <v>28</v>
      </c>
      <c r="L561" s="225">
        <v>1</v>
      </c>
      <c r="M561" s="226">
        <v>0.9</v>
      </c>
      <c r="N561" s="183">
        <v>0.16600000000000001</v>
      </c>
      <c r="O561" s="183">
        <v>8.9999999999999993E-3</v>
      </c>
      <c r="P561" s="183">
        <v>1.2E-2</v>
      </c>
    </row>
    <row r="562" spans="2:16" ht="14" customHeight="1" x14ac:dyDescent="0.25">
      <c r="B562" s="340" t="s">
        <v>77</v>
      </c>
      <c r="C562" s="341"/>
      <c r="D562" s="182">
        <f>L562-L577</f>
        <v>0.5</v>
      </c>
      <c r="E562" s="182">
        <f>M562-M577</f>
        <v>0.40000000000000013</v>
      </c>
      <c r="F562" s="183">
        <f t="shared" si="199"/>
        <v>0.24999999999999958</v>
      </c>
      <c r="G562" s="183">
        <f t="shared" si="200"/>
        <v>2.0080321285140569E-2</v>
      </c>
      <c r="H562" s="183">
        <f t="shared" si="201"/>
        <v>2.6315789473684216E-2</v>
      </c>
      <c r="I562" s="180"/>
      <c r="J562" s="342" t="s">
        <v>77</v>
      </c>
      <c r="K562" s="342"/>
      <c r="L562" s="225">
        <v>2.6</v>
      </c>
      <c r="M562" s="226">
        <v>1.8</v>
      </c>
      <c r="N562" s="183">
        <v>0.46600000000000003</v>
      </c>
      <c r="O562" s="183">
        <v>2.4E-2</v>
      </c>
      <c r="P562" s="183">
        <v>2.5000000000000001E-2</v>
      </c>
    </row>
    <row r="563" spans="2:16" ht="14" customHeight="1" x14ac:dyDescent="0.25">
      <c r="B563" s="340" t="s">
        <v>78</v>
      </c>
      <c r="C563" s="341"/>
      <c r="D563" s="182">
        <f>L563-L578</f>
        <v>24.899999999999991</v>
      </c>
      <c r="E563" s="182">
        <f>M563-M578</f>
        <v>15.200000000000003</v>
      </c>
      <c r="F563" s="183">
        <f t="shared" si="199"/>
        <v>0.63815789473684126</v>
      </c>
      <c r="G563" s="183">
        <f t="shared" si="200"/>
        <v>1</v>
      </c>
      <c r="H563" s="183">
        <f t="shared" si="201"/>
        <v>1</v>
      </c>
      <c r="I563" s="180"/>
      <c r="J563" s="342" t="s">
        <v>78</v>
      </c>
      <c r="K563" s="342"/>
      <c r="L563" s="225">
        <v>111.6</v>
      </c>
      <c r="M563" s="226">
        <v>73.2</v>
      </c>
      <c r="N563" s="183">
        <v>0.52500000000000002</v>
      </c>
      <c r="O563" s="183">
        <v>1</v>
      </c>
      <c r="P563" s="183">
        <v>1</v>
      </c>
    </row>
    <row r="564" spans="2:16" ht="14" customHeight="1" x14ac:dyDescent="0.25">
      <c r="B564" s="10"/>
    </row>
    <row r="565" spans="2:16" ht="14" customHeight="1" x14ac:dyDescent="0.25">
      <c r="B565" s="10" t="s">
        <v>773</v>
      </c>
      <c r="J565" s="10" t="s">
        <v>774</v>
      </c>
    </row>
    <row r="566" spans="2:16" ht="14" customHeight="1" x14ac:dyDescent="0.25">
      <c r="B566" s="37" t="s">
        <v>96</v>
      </c>
      <c r="C566" s="7" t="s">
        <v>123</v>
      </c>
      <c r="D566" s="146">
        <v>45017</v>
      </c>
      <c r="E566" s="146">
        <v>44652</v>
      </c>
      <c r="F566" s="7" t="s">
        <v>34</v>
      </c>
      <c r="G566" s="7" t="s">
        <v>124</v>
      </c>
      <c r="H566" s="7" t="s">
        <v>176</v>
      </c>
      <c r="I566" s="15"/>
      <c r="J566" s="37" t="s">
        <v>96</v>
      </c>
      <c r="K566" s="7" t="s">
        <v>123</v>
      </c>
      <c r="L566" s="146" t="s">
        <v>775</v>
      </c>
      <c r="M566" s="146" t="s">
        <v>251</v>
      </c>
      <c r="N566" s="7" t="s">
        <v>34</v>
      </c>
      <c r="O566" s="7" t="s">
        <v>124</v>
      </c>
      <c r="P566" s="7" t="s">
        <v>176</v>
      </c>
    </row>
    <row r="567" spans="2:16" ht="14" customHeight="1" x14ac:dyDescent="0.25">
      <c r="B567" s="170">
        <v>1</v>
      </c>
      <c r="C567" s="7" t="s">
        <v>98</v>
      </c>
      <c r="D567" s="182">
        <v>7.4</v>
      </c>
      <c r="E567" s="182">
        <v>3</v>
      </c>
      <c r="F567" s="183">
        <f t="shared" ref="F567:F572" si="203">(D567-E567)/E567</f>
        <v>1.4666666666666668</v>
      </c>
      <c r="G567" s="183">
        <f>D567/$D$578</f>
        <v>0.3288888888888889</v>
      </c>
      <c r="H567" s="183">
        <f>E567/$E$578</f>
        <v>0.21739130434782608</v>
      </c>
      <c r="I567" s="180"/>
      <c r="J567" s="170">
        <v>1</v>
      </c>
      <c r="K567" s="7" t="s">
        <v>172</v>
      </c>
      <c r="L567" s="225">
        <v>24.1</v>
      </c>
      <c r="M567" s="226">
        <v>16.100000000000001</v>
      </c>
      <c r="N567" s="183">
        <v>0.49199999999999999</v>
      </c>
      <c r="O567" s="183">
        <v>0.27800000000000002</v>
      </c>
      <c r="P567" s="183">
        <v>0.27800000000000002</v>
      </c>
    </row>
    <row r="568" spans="2:16" ht="14" customHeight="1" x14ac:dyDescent="0.25">
      <c r="B568" s="170">
        <v>2</v>
      </c>
      <c r="C568" s="7" t="s">
        <v>172</v>
      </c>
      <c r="D568" s="182">
        <v>6.1</v>
      </c>
      <c r="E568" s="182">
        <v>3.1</v>
      </c>
      <c r="F568" s="183">
        <f t="shared" si="203"/>
        <v>0.96774193548387077</v>
      </c>
      <c r="G568" s="183">
        <f>D568/$D$578</f>
        <v>0.27111111111111108</v>
      </c>
      <c r="H568" s="183">
        <f t="shared" ref="H568:H578" si="204">E568/$E$578</f>
        <v>0.22463768115942029</v>
      </c>
      <c r="I568" s="180"/>
      <c r="J568" s="170">
        <v>2</v>
      </c>
      <c r="K568" s="7" t="s">
        <v>98</v>
      </c>
      <c r="L568" s="225">
        <v>23</v>
      </c>
      <c r="M568" s="226">
        <v>11.7</v>
      </c>
      <c r="N568" s="183">
        <v>0.97099999999999997</v>
      </c>
      <c r="O568" s="183">
        <v>0.26500000000000001</v>
      </c>
      <c r="P568" s="183">
        <v>0.20100000000000001</v>
      </c>
    </row>
    <row r="569" spans="2:16" ht="14" customHeight="1" x14ac:dyDescent="0.25">
      <c r="B569" s="170">
        <v>3</v>
      </c>
      <c r="C569" s="7" t="s">
        <v>102</v>
      </c>
      <c r="D569" s="182">
        <v>3</v>
      </c>
      <c r="E569" s="182">
        <v>2.4</v>
      </c>
      <c r="F569" s="183">
        <f t="shared" si="203"/>
        <v>0.25000000000000006</v>
      </c>
      <c r="G569" s="183">
        <f t="shared" ref="G569:G578" si="205">D569/$D$578</f>
        <v>0.13333333333333333</v>
      </c>
      <c r="H569" s="183">
        <f t="shared" si="204"/>
        <v>0.17391304347826086</v>
      </c>
      <c r="I569" s="180"/>
      <c r="J569" s="170">
        <v>3</v>
      </c>
      <c r="K569" s="7" t="s">
        <v>102</v>
      </c>
      <c r="L569" s="225">
        <v>14.9</v>
      </c>
      <c r="M569" s="226">
        <v>10.9</v>
      </c>
      <c r="N569" s="183">
        <v>0.36699999999999999</v>
      </c>
      <c r="O569" s="183">
        <v>0.17199999999999999</v>
      </c>
      <c r="P569" s="183">
        <v>0.188</v>
      </c>
    </row>
    <row r="570" spans="2:16" ht="14" customHeight="1" x14ac:dyDescent="0.25">
      <c r="B570" s="170">
        <v>4</v>
      </c>
      <c r="C570" s="37" t="s">
        <v>25</v>
      </c>
      <c r="D570" s="182">
        <v>2.5</v>
      </c>
      <c r="E570" s="182">
        <v>2.2999999999999998</v>
      </c>
      <c r="F570" s="183">
        <f t="shared" si="203"/>
        <v>8.6956521739130516E-2</v>
      </c>
      <c r="G570" s="183">
        <f t="shared" si="205"/>
        <v>0.1111111111111111</v>
      </c>
      <c r="H570" s="183">
        <f t="shared" si="204"/>
        <v>0.16666666666666666</v>
      </c>
      <c r="I570" s="180"/>
      <c r="J570" s="170">
        <v>4</v>
      </c>
      <c r="K570" s="37" t="s">
        <v>25</v>
      </c>
      <c r="L570" s="225">
        <v>9.5</v>
      </c>
      <c r="M570" s="226">
        <v>9</v>
      </c>
      <c r="N570" s="183">
        <v>4.8000000000000001E-2</v>
      </c>
      <c r="O570" s="183">
        <v>0.109</v>
      </c>
      <c r="P570" s="183">
        <v>0.156</v>
      </c>
    </row>
    <row r="571" spans="2:16" ht="14" customHeight="1" x14ac:dyDescent="0.25">
      <c r="B571" s="170">
        <v>5</v>
      </c>
      <c r="C571" s="7" t="s">
        <v>173</v>
      </c>
      <c r="D571" s="182">
        <v>1</v>
      </c>
      <c r="E571" s="182">
        <v>1.6</v>
      </c>
      <c r="F571" s="183">
        <f t="shared" si="203"/>
        <v>-0.37500000000000006</v>
      </c>
      <c r="G571" s="183">
        <f t="shared" si="205"/>
        <v>4.4444444444444446E-2</v>
      </c>
      <c r="H571" s="183">
        <f t="shared" si="204"/>
        <v>0.11594202898550725</v>
      </c>
      <c r="I571" s="180"/>
      <c r="J571" s="170">
        <v>5</v>
      </c>
      <c r="K571" s="7" t="s">
        <v>173</v>
      </c>
      <c r="L571" s="225">
        <v>7.5</v>
      </c>
      <c r="M571" s="226">
        <v>5.8</v>
      </c>
      <c r="N571" s="183">
        <v>0.29599999999999999</v>
      </c>
      <c r="O571" s="183">
        <v>8.6999999999999994E-2</v>
      </c>
      <c r="P571" s="183">
        <v>0.1</v>
      </c>
    </row>
    <row r="572" spans="2:16" ht="14" customHeight="1" x14ac:dyDescent="0.25">
      <c r="B572" s="170">
        <v>6</v>
      </c>
      <c r="C572" s="7" t="s">
        <v>46</v>
      </c>
      <c r="D572" s="182">
        <f>D578-SUM(D567:D571)-SUM(D573:D577)</f>
        <v>0.7</v>
      </c>
      <c r="E572" s="182">
        <f>E578-SUM(E567:E571)-SUM(E573:E577)</f>
        <v>0.20000000000000018</v>
      </c>
      <c r="F572" s="183">
        <f t="shared" si="203"/>
        <v>2.4999999999999969</v>
      </c>
      <c r="G572" s="183">
        <f t="shared" si="205"/>
        <v>3.111111111111111E-2</v>
      </c>
      <c r="H572" s="183">
        <f t="shared" si="204"/>
        <v>1.4492753623188418E-2</v>
      </c>
      <c r="I572" s="180"/>
      <c r="J572" s="170">
        <v>6</v>
      </c>
      <c r="K572" s="170" t="s">
        <v>69</v>
      </c>
      <c r="L572" s="225">
        <v>1.4</v>
      </c>
      <c r="M572" s="226">
        <v>0.2</v>
      </c>
      <c r="N572" s="183">
        <v>6.2089999999999996</v>
      </c>
      <c r="O572" s="183">
        <v>1.6E-2</v>
      </c>
      <c r="P572" s="183">
        <v>3.0000000000000001E-3</v>
      </c>
    </row>
    <row r="573" spans="2:16" ht="14" customHeight="1" x14ac:dyDescent="0.25">
      <c r="B573" s="170">
        <v>7</v>
      </c>
      <c r="C573" s="170" t="s">
        <v>69</v>
      </c>
      <c r="D573" s="182">
        <v>0.3</v>
      </c>
      <c r="E573" s="182">
        <v>0</v>
      </c>
      <c r="F573" s="183"/>
      <c r="G573" s="183">
        <f t="shared" si="205"/>
        <v>1.3333333333333332E-2</v>
      </c>
      <c r="H573" s="183">
        <f t="shared" si="204"/>
        <v>0</v>
      </c>
      <c r="I573" s="180"/>
      <c r="J573" s="170">
        <v>7</v>
      </c>
      <c r="K573" s="170" t="s">
        <v>471</v>
      </c>
      <c r="L573" s="225">
        <v>1.4</v>
      </c>
      <c r="M573" s="226">
        <v>1.4</v>
      </c>
      <c r="N573" s="183">
        <v>3.0000000000000001E-3</v>
      </c>
      <c r="O573" s="183">
        <v>1.6E-2</v>
      </c>
      <c r="P573" s="183">
        <v>2.3E-2</v>
      </c>
    </row>
    <row r="574" spans="2:16" ht="14" customHeight="1" x14ac:dyDescent="0.25">
      <c r="B574" s="170">
        <v>8</v>
      </c>
      <c r="C574" s="170" t="s">
        <v>471</v>
      </c>
      <c r="D574" s="182">
        <v>0.3</v>
      </c>
      <c r="E574" s="182">
        <v>0.3</v>
      </c>
      <c r="F574" s="183">
        <f>(D574-E574)/E574</f>
        <v>0</v>
      </c>
      <c r="G574" s="183">
        <f t="shared" si="205"/>
        <v>1.3333333333333332E-2</v>
      </c>
      <c r="H574" s="183">
        <f t="shared" si="204"/>
        <v>2.1739130434782608E-2</v>
      </c>
      <c r="I574" s="180"/>
      <c r="J574" s="170">
        <v>8</v>
      </c>
      <c r="K574" s="170" t="s">
        <v>46</v>
      </c>
      <c r="L574" s="225">
        <v>1.1000000000000001</v>
      </c>
      <c r="M574" s="226">
        <v>0.5</v>
      </c>
      <c r="N574" s="183">
        <v>1.173</v>
      </c>
      <c r="O574" s="183">
        <v>1.2999999999999999E-2</v>
      </c>
      <c r="P574" s="183">
        <v>8.9999999999999993E-3</v>
      </c>
    </row>
    <row r="575" spans="2:16" ht="14" customHeight="1" x14ac:dyDescent="0.25">
      <c r="B575" s="170">
        <v>9</v>
      </c>
      <c r="C575" s="7" t="s">
        <v>185</v>
      </c>
      <c r="D575" s="182">
        <v>0.2</v>
      </c>
      <c r="E575" s="182">
        <v>0.1</v>
      </c>
      <c r="F575" s="183">
        <f>(D575-E575)/E575</f>
        <v>1</v>
      </c>
      <c r="G575" s="183">
        <f t="shared" si="205"/>
        <v>8.8888888888888889E-3</v>
      </c>
      <c r="H575" s="183">
        <f t="shared" si="204"/>
        <v>7.246376811594203E-3</v>
      </c>
      <c r="I575" s="180"/>
      <c r="J575" s="170">
        <v>9</v>
      </c>
      <c r="K575" s="7" t="s">
        <v>185</v>
      </c>
      <c r="L575" s="225">
        <v>0.9</v>
      </c>
      <c r="M575" s="226">
        <v>0.3</v>
      </c>
      <c r="N575" s="183">
        <v>2.0369999999999999</v>
      </c>
      <c r="O575" s="183">
        <v>1.0999999999999999E-2</v>
      </c>
      <c r="P575" s="183">
        <v>5.0000000000000001E-3</v>
      </c>
    </row>
    <row r="576" spans="2:16" ht="14" customHeight="1" x14ac:dyDescent="0.25">
      <c r="B576" s="170">
        <v>10</v>
      </c>
      <c r="C576" s="170" t="s">
        <v>28</v>
      </c>
      <c r="D576" s="182">
        <v>0.2</v>
      </c>
      <c r="E576" s="182">
        <v>0.2</v>
      </c>
      <c r="F576" s="183">
        <f>(D576-E576)/E576</f>
        <v>0</v>
      </c>
      <c r="G576" s="183">
        <f t="shared" si="205"/>
        <v>8.8888888888888889E-3</v>
      </c>
      <c r="H576" s="183">
        <f t="shared" si="204"/>
        <v>1.4492753623188406E-2</v>
      </c>
      <c r="I576" s="180"/>
      <c r="J576" s="170">
        <v>10</v>
      </c>
      <c r="K576" s="170" t="s">
        <v>28</v>
      </c>
      <c r="L576" s="225">
        <v>0.8</v>
      </c>
      <c r="M576" s="226">
        <v>0.7</v>
      </c>
      <c r="N576" s="183">
        <v>0.154</v>
      </c>
      <c r="O576" s="183">
        <v>8.9999999999999993E-3</v>
      </c>
      <c r="P576" s="183">
        <v>1.2E-2</v>
      </c>
    </row>
    <row r="577" spans="2:16" ht="14" customHeight="1" x14ac:dyDescent="0.25">
      <c r="B577" s="340" t="s">
        <v>77</v>
      </c>
      <c r="C577" s="341"/>
      <c r="D577" s="182">
        <v>0.8</v>
      </c>
      <c r="E577" s="182">
        <v>0.6</v>
      </c>
      <c r="F577" s="183">
        <f t="shared" ref="F577:F578" si="206">(D577-E577)/E577</f>
        <v>0.33333333333333348</v>
      </c>
      <c r="G577" s="183">
        <f t="shared" si="205"/>
        <v>3.5555555555555556E-2</v>
      </c>
      <c r="H577" s="183">
        <f t="shared" si="204"/>
        <v>4.3478260869565216E-2</v>
      </c>
      <c r="I577" s="180"/>
      <c r="J577" s="342" t="s">
        <v>77</v>
      </c>
      <c r="K577" s="342"/>
      <c r="L577" s="225">
        <v>2.1</v>
      </c>
      <c r="M577" s="226">
        <v>1.4</v>
      </c>
      <c r="N577" s="183">
        <v>0.47499999999999998</v>
      </c>
      <c r="O577" s="183">
        <v>2.4E-2</v>
      </c>
      <c r="P577" s="183">
        <v>2.4E-2</v>
      </c>
    </row>
    <row r="578" spans="2:16" ht="14" customHeight="1" x14ac:dyDescent="0.25">
      <c r="B578" s="340" t="s">
        <v>78</v>
      </c>
      <c r="C578" s="341"/>
      <c r="D578" s="182">
        <v>22.5</v>
      </c>
      <c r="E578" s="182">
        <v>13.8</v>
      </c>
      <c r="F578" s="183">
        <f t="shared" si="206"/>
        <v>0.63043478260869557</v>
      </c>
      <c r="G578" s="183">
        <f t="shared" si="205"/>
        <v>1</v>
      </c>
      <c r="H578" s="183">
        <f t="shared" si="204"/>
        <v>1</v>
      </c>
      <c r="I578" s="180"/>
      <c r="J578" s="342" t="s">
        <v>78</v>
      </c>
      <c r="K578" s="342"/>
      <c r="L578" s="225">
        <v>86.7</v>
      </c>
      <c r="M578" s="226">
        <v>58</v>
      </c>
      <c r="N578" s="183">
        <v>0.49399999999999999</v>
      </c>
      <c r="O578" s="183">
        <v>1</v>
      </c>
      <c r="P578" s="183">
        <v>1</v>
      </c>
    </row>
    <row r="579" spans="2:16" ht="14" customHeight="1" x14ac:dyDescent="0.25">
      <c r="B579" s="10"/>
    </row>
    <row r="580" spans="2:16" ht="14" customHeight="1" x14ac:dyDescent="0.25">
      <c r="B580" s="10" t="s">
        <v>776</v>
      </c>
      <c r="J580" s="10" t="s">
        <v>777</v>
      </c>
    </row>
    <row r="581" spans="2:16" ht="14" customHeight="1" x14ac:dyDescent="0.25">
      <c r="B581" s="37" t="s">
        <v>96</v>
      </c>
      <c r="C581" s="7" t="s">
        <v>123</v>
      </c>
      <c r="D581" s="146">
        <v>44986</v>
      </c>
      <c r="E581" s="146">
        <v>44621</v>
      </c>
      <c r="F581" s="7" t="s">
        <v>34</v>
      </c>
      <c r="G581" s="7" t="s">
        <v>124</v>
      </c>
      <c r="H581" s="7" t="s">
        <v>176</v>
      </c>
      <c r="I581" s="15"/>
      <c r="J581" s="37" t="s">
        <v>96</v>
      </c>
      <c r="K581" s="7" t="s">
        <v>123</v>
      </c>
      <c r="L581" s="146" t="s">
        <v>778</v>
      </c>
      <c r="M581" s="146" t="s">
        <v>779</v>
      </c>
      <c r="N581" s="7" t="s">
        <v>34</v>
      </c>
      <c r="O581" s="7" t="s">
        <v>124</v>
      </c>
      <c r="P581" s="7" t="s">
        <v>176</v>
      </c>
    </row>
    <row r="582" spans="2:16" ht="14" customHeight="1" x14ac:dyDescent="0.25">
      <c r="B582" s="170">
        <v>1</v>
      </c>
      <c r="C582" s="7" t="s">
        <v>172</v>
      </c>
      <c r="D582" s="182">
        <v>8.6999999999999993</v>
      </c>
      <c r="E582" s="182">
        <v>6.7</v>
      </c>
      <c r="F582" s="183">
        <f>(D582-E582)/E582</f>
        <v>0.29850746268656703</v>
      </c>
      <c r="G582" s="183">
        <f>D582/$D$593</f>
        <v>0.31751824817518248</v>
      </c>
      <c r="H582" s="183">
        <f>E582/$E$593</f>
        <v>0.35638297872340424</v>
      </c>
      <c r="I582" s="180"/>
      <c r="J582" s="170">
        <v>1</v>
      </c>
      <c r="K582" s="7" t="s">
        <v>172</v>
      </c>
      <c r="L582" s="225">
        <v>18</v>
      </c>
      <c r="M582" s="226">
        <v>13</v>
      </c>
      <c r="N582" s="183">
        <v>0.38800000000000001</v>
      </c>
      <c r="O582" s="183">
        <v>0.28000000000000003</v>
      </c>
      <c r="P582" s="183">
        <v>0.29299999999999998</v>
      </c>
    </row>
    <row r="583" spans="2:16" ht="14" customHeight="1" x14ac:dyDescent="0.25">
      <c r="B583" s="170">
        <v>2</v>
      </c>
      <c r="C583" s="7" t="s">
        <v>98</v>
      </c>
      <c r="D583" s="182">
        <v>6.9</v>
      </c>
      <c r="E583" s="182">
        <v>3.3</v>
      </c>
      <c r="F583" s="183">
        <f t="shared" ref="F583:F593" si="207">(D583-E583)/E583</f>
        <v>1.0909090909090911</v>
      </c>
      <c r="G583" s="183">
        <f t="shared" ref="G583:G593" si="208">D583/$D$593</f>
        <v>0.2518248175182482</v>
      </c>
      <c r="H583" s="183">
        <f t="shared" ref="H583:H593" si="209">E583/$E$593</f>
        <v>0.175531914893617</v>
      </c>
      <c r="I583" s="180"/>
      <c r="J583" s="170">
        <v>2</v>
      </c>
      <c r="K583" s="7" t="s">
        <v>98</v>
      </c>
      <c r="L583" s="225">
        <v>15.6</v>
      </c>
      <c r="M583" s="226">
        <v>8.6999999999999993</v>
      </c>
      <c r="N583" s="183">
        <v>0.79600000000000004</v>
      </c>
      <c r="O583" s="183">
        <v>0.24399999999999999</v>
      </c>
      <c r="P583" s="183">
        <v>0.29699999999999999</v>
      </c>
    </row>
    <row r="584" spans="2:16" ht="14" customHeight="1" x14ac:dyDescent="0.25">
      <c r="B584" s="170">
        <v>3</v>
      </c>
      <c r="C584" s="7" t="s">
        <v>102</v>
      </c>
      <c r="D584" s="182">
        <v>4.0999999999999996</v>
      </c>
      <c r="E584" s="182">
        <v>3.5</v>
      </c>
      <c r="F584" s="183">
        <f t="shared" si="207"/>
        <v>0.17142857142857132</v>
      </c>
      <c r="G584" s="183">
        <f t="shared" si="208"/>
        <v>0.14963503649635035</v>
      </c>
      <c r="H584" s="183">
        <f t="shared" si="209"/>
        <v>0.18617021276595744</v>
      </c>
      <c r="I584" s="180"/>
      <c r="J584" s="170">
        <v>3</v>
      </c>
      <c r="K584" s="7" t="s">
        <v>102</v>
      </c>
      <c r="L584" s="225">
        <v>11.9</v>
      </c>
      <c r="M584" s="226">
        <v>8.5</v>
      </c>
      <c r="N584" s="183">
        <v>0.38800000000000001</v>
      </c>
      <c r="O584" s="183">
        <v>0.185</v>
      </c>
      <c r="P584" s="183">
        <v>0.193</v>
      </c>
    </row>
    <row r="585" spans="2:16" ht="14" customHeight="1" x14ac:dyDescent="0.25">
      <c r="B585" s="170">
        <v>4</v>
      </c>
      <c r="C585" s="37" t="s">
        <v>25</v>
      </c>
      <c r="D585" s="182">
        <v>2.9</v>
      </c>
      <c r="E585" s="182">
        <v>2.6</v>
      </c>
      <c r="F585" s="183">
        <f t="shared" si="207"/>
        <v>0.11538461538461531</v>
      </c>
      <c r="G585" s="183">
        <f t="shared" si="208"/>
        <v>0.10583941605839416</v>
      </c>
      <c r="H585" s="183">
        <f t="shared" si="209"/>
        <v>0.13829787234042554</v>
      </c>
      <c r="I585" s="180"/>
      <c r="J585" s="170">
        <v>4</v>
      </c>
      <c r="K585" s="37" t="s">
        <v>25</v>
      </c>
      <c r="L585" s="225">
        <v>7</v>
      </c>
      <c r="M585" s="226">
        <v>6.7</v>
      </c>
      <c r="N585" s="183">
        <v>4.5999999999999999E-2</v>
      </c>
      <c r="O585" s="183">
        <v>0.109</v>
      </c>
      <c r="P585" s="183">
        <v>0.152</v>
      </c>
    </row>
    <row r="586" spans="2:16" ht="14" customHeight="1" x14ac:dyDescent="0.25">
      <c r="B586" s="170">
        <v>5</v>
      </c>
      <c r="C586" s="7" t="s">
        <v>173</v>
      </c>
      <c r="D586" s="182">
        <v>2.8</v>
      </c>
      <c r="E586" s="182">
        <v>1.5</v>
      </c>
      <c r="F586" s="183">
        <f t="shared" si="207"/>
        <v>0.86666666666666659</v>
      </c>
      <c r="G586" s="183">
        <f t="shared" si="208"/>
        <v>0.10218978102189781</v>
      </c>
      <c r="H586" s="183">
        <f t="shared" si="209"/>
        <v>7.9787234042553182E-2</v>
      </c>
      <c r="I586" s="180"/>
      <c r="J586" s="170">
        <v>5</v>
      </c>
      <c r="K586" s="7" t="s">
        <v>173</v>
      </c>
      <c r="L586" s="225">
        <v>6.5</v>
      </c>
      <c r="M586" s="226">
        <v>4.2</v>
      </c>
      <c r="N586" s="183">
        <v>0.54400000000000004</v>
      </c>
      <c r="O586" s="183">
        <v>0.10100000000000001</v>
      </c>
      <c r="P586" s="183">
        <v>9.5000000000000001E-2</v>
      </c>
    </row>
    <row r="587" spans="2:16" ht="14" customHeight="1" x14ac:dyDescent="0.25">
      <c r="B587" s="170">
        <v>6</v>
      </c>
      <c r="C587" s="170" t="s">
        <v>69</v>
      </c>
      <c r="D587" s="182">
        <v>0.4</v>
      </c>
      <c r="E587" s="182">
        <v>0</v>
      </c>
      <c r="F587" s="183"/>
      <c r="G587" s="183">
        <f t="shared" si="208"/>
        <v>1.4598540145985403E-2</v>
      </c>
      <c r="H587" s="183">
        <f t="shared" si="209"/>
        <v>0</v>
      </c>
      <c r="I587" s="180"/>
      <c r="J587" s="170">
        <v>6</v>
      </c>
      <c r="K587" s="170" t="s">
        <v>69</v>
      </c>
      <c r="L587" s="225">
        <v>1.1000000000000001</v>
      </c>
      <c r="M587" s="226">
        <v>0.2</v>
      </c>
      <c r="N587" s="183">
        <v>6.3390000000000004</v>
      </c>
      <c r="O587" s="183">
        <v>1.7000000000000001E-2</v>
      </c>
      <c r="P587" s="183">
        <v>3.0000000000000001E-3</v>
      </c>
    </row>
    <row r="588" spans="2:16" ht="14" customHeight="1" x14ac:dyDescent="0.25">
      <c r="B588" s="170">
        <v>7</v>
      </c>
      <c r="C588" s="170" t="s">
        <v>471</v>
      </c>
      <c r="D588" s="182">
        <v>0.4</v>
      </c>
      <c r="E588" s="182">
        <v>0.5</v>
      </c>
      <c r="F588" s="183">
        <f t="shared" si="207"/>
        <v>-0.19999999999999996</v>
      </c>
      <c r="G588" s="183">
        <f t="shared" si="208"/>
        <v>1.4598540145985403E-2</v>
      </c>
      <c r="H588" s="183">
        <f t="shared" si="209"/>
        <v>2.6595744680851064E-2</v>
      </c>
      <c r="I588" s="180"/>
      <c r="J588" s="170">
        <v>7</v>
      </c>
      <c r="K588" s="170" t="s">
        <v>471</v>
      </c>
      <c r="L588" s="225">
        <v>1.1000000000000001</v>
      </c>
      <c r="M588" s="226">
        <v>1.1000000000000001</v>
      </c>
      <c r="N588" s="183">
        <v>-1.4999999999999999E-2</v>
      </c>
      <c r="O588" s="183">
        <v>1.7000000000000001E-2</v>
      </c>
      <c r="P588" s="183">
        <v>2.5000000000000001E-2</v>
      </c>
    </row>
    <row r="589" spans="2:16" ht="14" customHeight="1" x14ac:dyDescent="0.25">
      <c r="B589" s="170">
        <v>8</v>
      </c>
      <c r="C589" s="7" t="s">
        <v>185</v>
      </c>
      <c r="D589" s="182">
        <v>0.3</v>
      </c>
      <c r="E589" s="182">
        <v>0</v>
      </c>
      <c r="F589" s="183"/>
      <c r="G589" s="183">
        <f t="shared" si="208"/>
        <v>1.0948905109489052E-2</v>
      </c>
      <c r="H589" s="183">
        <f t="shared" si="209"/>
        <v>0</v>
      </c>
      <c r="I589" s="180"/>
      <c r="J589" s="170">
        <v>8</v>
      </c>
      <c r="K589" s="7" t="s">
        <v>185</v>
      </c>
      <c r="L589" s="225">
        <v>0.7</v>
      </c>
      <c r="M589" s="226">
        <v>0.2</v>
      </c>
      <c r="N589" s="183">
        <v>2.298</v>
      </c>
      <c r="O589" s="183">
        <v>1.0999999999999999E-2</v>
      </c>
      <c r="P589" s="183">
        <v>5.0000000000000001E-3</v>
      </c>
    </row>
    <row r="590" spans="2:16" ht="14" customHeight="1" x14ac:dyDescent="0.25">
      <c r="B590" s="170">
        <v>9</v>
      </c>
      <c r="C590" s="170" t="s">
        <v>28</v>
      </c>
      <c r="D590" s="182">
        <v>0.2</v>
      </c>
      <c r="E590" s="182">
        <v>0.2</v>
      </c>
      <c r="F590" s="183">
        <f t="shared" si="207"/>
        <v>0</v>
      </c>
      <c r="G590" s="183">
        <f t="shared" si="208"/>
        <v>7.2992700729927014E-3</v>
      </c>
      <c r="H590" s="183">
        <f t="shared" si="209"/>
        <v>1.0638297872340425E-2</v>
      </c>
      <c r="I590" s="180"/>
      <c r="J590" s="170">
        <v>9</v>
      </c>
      <c r="K590" s="170" t="s">
        <v>28</v>
      </c>
      <c r="L590" s="225">
        <v>0.6</v>
      </c>
      <c r="M590" s="226">
        <v>0.5</v>
      </c>
      <c r="N590" s="183">
        <v>0.192</v>
      </c>
      <c r="O590" s="183">
        <v>0.01</v>
      </c>
      <c r="P590" s="183">
        <v>1.2E-2</v>
      </c>
    </row>
    <row r="591" spans="2:16" ht="14" customHeight="1" x14ac:dyDescent="0.25">
      <c r="B591" s="170">
        <v>10</v>
      </c>
      <c r="C591" s="7" t="s">
        <v>181</v>
      </c>
      <c r="D591" s="182">
        <v>0.1</v>
      </c>
      <c r="E591" s="182">
        <v>0.1</v>
      </c>
      <c r="F591" s="183">
        <f t="shared" si="207"/>
        <v>0</v>
      </c>
      <c r="G591" s="183">
        <f t="shared" si="208"/>
        <v>3.6496350364963507E-3</v>
      </c>
      <c r="H591" s="183">
        <f t="shared" si="209"/>
        <v>5.3191489361702126E-3</v>
      </c>
      <c r="I591" s="180"/>
      <c r="J591" s="170">
        <v>10</v>
      </c>
      <c r="K591" s="7" t="s">
        <v>181</v>
      </c>
      <c r="L591" s="225">
        <v>0.4</v>
      </c>
      <c r="M591" s="226">
        <v>0.3</v>
      </c>
      <c r="N591" s="183">
        <v>0.53200000000000003</v>
      </c>
      <c r="O591" s="183">
        <v>7.0000000000000001E-3</v>
      </c>
      <c r="P591" s="183">
        <v>6.0000000000000001E-3</v>
      </c>
    </row>
    <row r="592" spans="2:16" ht="14" customHeight="1" x14ac:dyDescent="0.25">
      <c r="B592" s="340" t="s">
        <v>77</v>
      </c>
      <c r="C592" s="341"/>
      <c r="D592" s="182">
        <v>0.6</v>
      </c>
      <c r="E592" s="182">
        <f>E593-SUM(E582:E591)</f>
        <v>0.39999999999999858</v>
      </c>
      <c r="F592" s="183">
        <f t="shared" si="207"/>
        <v>0.50000000000000533</v>
      </c>
      <c r="G592" s="183">
        <f t="shared" si="208"/>
        <v>2.1897810218978103E-2</v>
      </c>
      <c r="H592" s="183">
        <f t="shared" si="209"/>
        <v>2.1276595744680774E-2</v>
      </c>
      <c r="I592" s="180"/>
      <c r="J592" s="342" t="s">
        <v>77</v>
      </c>
      <c r="K592" s="342"/>
      <c r="L592" s="225">
        <v>1.3</v>
      </c>
      <c r="M592" s="226">
        <v>0.8</v>
      </c>
      <c r="N592" s="183">
        <v>0.56999999999999995</v>
      </c>
      <c r="O592" s="183">
        <v>0.02</v>
      </c>
      <c r="P592" s="183">
        <v>1.7999999999999999E-2</v>
      </c>
    </row>
    <row r="593" spans="2:16" ht="14" customHeight="1" x14ac:dyDescent="0.25">
      <c r="B593" s="340" t="s">
        <v>78</v>
      </c>
      <c r="C593" s="341"/>
      <c r="D593" s="182">
        <v>27.4</v>
      </c>
      <c r="E593" s="182">
        <v>18.8</v>
      </c>
      <c r="F593" s="183">
        <f t="shared" si="207"/>
        <v>0.45744680851063818</v>
      </c>
      <c r="G593" s="183">
        <f t="shared" si="208"/>
        <v>1</v>
      </c>
      <c r="H593" s="183">
        <f t="shared" si="209"/>
        <v>1</v>
      </c>
      <c r="I593" s="180"/>
      <c r="J593" s="342" t="s">
        <v>78</v>
      </c>
      <c r="K593" s="342"/>
      <c r="L593" s="225">
        <v>64.2</v>
      </c>
      <c r="M593" s="226">
        <v>44.2</v>
      </c>
      <c r="N593" s="183">
        <v>0.45300000000000001</v>
      </c>
      <c r="O593" s="183">
        <v>1</v>
      </c>
      <c r="P593" s="183">
        <v>1</v>
      </c>
    </row>
    <row r="595" spans="2:16" ht="14" customHeight="1" x14ac:dyDescent="0.25">
      <c r="B595" s="10" t="s">
        <v>780</v>
      </c>
      <c r="J595" s="10" t="s">
        <v>781</v>
      </c>
    </row>
    <row r="596" spans="2:16" ht="14" customHeight="1" x14ac:dyDescent="0.25">
      <c r="B596" s="37" t="s">
        <v>96</v>
      </c>
      <c r="C596" s="7" t="s">
        <v>123</v>
      </c>
      <c r="D596" s="146">
        <v>44958</v>
      </c>
      <c r="E596" s="146">
        <v>44593</v>
      </c>
      <c r="F596" s="7" t="s">
        <v>34</v>
      </c>
      <c r="G596" s="7" t="s">
        <v>124</v>
      </c>
      <c r="H596" s="7" t="s">
        <v>176</v>
      </c>
      <c r="I596" s="15"/>
      <c r="J596" s="37" t="s">
        <v>96</v>
      </c>
      <c r="K596" s="7" t="s">
        <v>123</v>
      </c>
      <c r="L596" s="146" t="s">
        <v>782</v>
      </c>
      <c r="M596" s="146" t="s">
        <v>783</v>
      </c>
      <c r="N596" s="7" t="s">
        <v>34</v>
      </c>
      <c r="O596" s="7" t="s">
        <v>124</v>
      </c>
      <c r="P596" s="7" t="s">
        <v>176</v>
      </c>
    </row>
    <row r="597" spans="2:16" ht="14" customHeight="1" x14ac:dyDescent="0.25">
      <c r="B597" s="170">
        <v>1</v>
      </c>
      <c r="C597" s="7" t="s">
        <v>172</v>
      </c>
      <c r="D597" s="182">
        <v>5.2</v>
      </c>
      <c r="E597" s="182">
        <v>3.6</v>
      </c>
      <c r="F597" s="183">
        <f>D597/E597-1</f>
        <v>0.44444444444444442</v>
      </c>
      <c r="G597" s="183">
        <f>D597/20.2</f>
        <v>0.25742574257425743</v>
      </c>
      <c r="H597" s="183">
        <f>E597/13.3</f>
        <v>0.27067669172932329</v>
      </c>
      <c r="I597" s="180"/>
      <c r="J597" s="170">
        <v>1</v>
      </c>
      <c r="K597" s="7" t="s">
        <v>172</v>
      </c>
      <c r="L597" s="225">
        <v>9.3000000000000007</v>
      </c>
      <c r="M597" s="226">
        <v>6.3</v>
      </c>
      <c r="N597" s="183">
        <v>0.48899999999999999</v>
      </c>
      <c r="O597" s="183">
        <v>0.254</v>
      </c>
      <c r="P597" s="183">
        <v>0.25600000000000001</v>
      </c>
    </row>
    <row r="598" spans="2:16" ht="14" customHeight="1" x14ac:dyDescent="0.25">
      <c r="B598" s="170">
        <v>2</v>
      </c>
      <c r="C598" s="7" t="s">
        <v>98</v>
      </c>
      <c r="D598" s="182">
        <v>4.7</v>
      </c>
      <c r="E598" s="182">
        <v>2.5</v>
      </c>
      <c r="F598" s="183">
        <f t="shared" ref="F598:F608" si="210">D598/E598-1</f>
        <v>0.88000000000000012</v>
      </c>
      <c r="G598" s="183">
        <f t="shared" ref="G598:G608" si="211">D598/20.2</f>
        <v>0.23267326732673269</v>
      </c>
      <c r="H598" s="183">
        <f t="shared" ref="H598:H608" si="212">E598/13.3</f>
        <v>0.18796992481203006</v>
      </c>
      <c r="I598" s="180"/>
      <c r="J598" s="170">
        <v>2</v>
      </c>
      <c r="K598" s="7" t="s">
        <v>98</v>
      </c>
      <c r="L598" s="225">
        <v>8.6999999999999993</v>
      </c>
      <c r="M598" s="226">
        <v>4.9000000000000004</v>
      </c>
      <c r="N598" s="183">
        <v>0.79300000000000004</v>
      </c>
      <c r="O598" s="183">
        <v>0.23699999999999999</v>
      </c>
      <c r="P598" s="183">
        <v>0.19900000000000001</v>
      </c>
    </row>
    <row r="599" spans="2:16" ht="14" customHeight="1" x14ac:dyDescent="0.25">
      <c r="B599" s="170">
        <v>3</v>
      </c>
      <c r="C599" s="7" t="s">
        <v>102</v>
      </c>
      <c r="D599" s="182">
        <v>4.0999999999999996</v>
      </c>
      <c r="E599" s="182">
        <v>2.7</v>
      </c>
      <c r="F599" s="183">
        <f t="shared" si="210"/>
        <v>0.51851851851851838</v>
      </c>
      <c r="G599" s="183">
        <f t="shared" si="211"/>
        <v>0.20297029702970296</v>
      </c>
      <c r="H599" s="183">
        <f t="shared" si="212"/>
        <v>0.20300751879699247</v>
      </c>
      <c r="I599" s="180"/>
      <c r="J599" s="170">
        <v>3</v>
      </c>
      <c r="K599" s="7" t="s">
        <v>102</v>
      </c>
      <c r="L599" s="225">
        <v>7.8</v>
      </c>
      <c r="M599" s="226">
        <v>5.2</v>
      </c>
      <c r="N599" s="183">
        <v>0.48899999999999999</v>
      </c>
      <c r="O599" s="183">
        <v>0.21099999999999999</v>
      </c>
      <c r="P599" s="183">
        <v>0.21299999999999999</v>
      </c>
    </row>
    <row r="600" spans="2:16" ht="14" customHeight="1" x14ac:dyDescent="0.25">
      <c r="B600" s="170">
        <v>4</v>
      </c>
      <c r="C600" s="7" t="s">
        <v>173</v>
      </c>
      <c r="D600" s="182">
        <v>2.2999999999999998</v>
      </c>
      <c r="E600" s="182">
        <v>2.8</v>
      </c>
      <c r="F600" s="183">
        <f t="shared" si="210"/>
        <v>-0.1785714285714286</v>
      </c>
      <c r="G600" s="183">
        <f t="shared" si="211"/>
        <v>0.11386138613861385</v>
      </c>
      <c r="H600" s="183">
        <f t="shared" si="212"/>
        <v>0.21052631578947367</v>
      </c>
      <c r="I600" s="180"/>
      <c r="J600" s="170">
        <v>4</v>
      </c>
      <c r="K600" s="37" t="s">
        <v>25</v>
      </c>
      <c r="L600" s="225">
        <v>4.0999999999999996</v>
      </c>
      <c r="M600" s="226">
        <v>4</v>
      </c>
      <c r="N600" s="183">
        <v>3.5999999999999997E-2</v>
      </c>
      <c r="O600" s="183">
        <v>0.113</v>
      </c>
      <c r="P600" s="183">
        <v>0.16300000000000001</v>
      </c>
    </row>
    <row r="601" spans="2:16" ht="14" customHeight="1" x14ac:dyDescent="0.25">
      <c r="B601" s="170">
        <v>5</v>
      </c>
      <c r="C601" s="184" t="s">
        <v>25</v>
      </c>
      <c r="D601" s="182">
        <v>2.2000000000000002</v>
      </c>
      <c r="E601" s="182">
        <v>0.7</v>
      </c>
      <c r="F601" s="183">
        <f t="shared" si="210"/>
        <v>2.1428571428571432</v>
      </c>
      <c r="G601" s="183">
        <f t="shared" si="211"/>
        <v>0.10891089108910892</v>
      </c>
      <c r="H601" s="183">
        <f t="shared" si="212"/>
        <v>5.2631578947368418E-2</v>
      </c>
      <c r="I601" s="180"/>
      <c r="J601" s="170">
        <v>5</v>
      </c>
      <c r="K601" s="7" t="s">
        <v>173</v>
      </c>
      <c r="L601" s="225">
        <v>3.7</v>
      </c>
      <c r="M601" s="226">
        <v>2.2999999999999998</v>
      </c>
      <c r="N601" s="183">
        <v>0.59299999999999997</v>
      </c>
      <c r="O601" s="183">
        <v>9.9000000000000005E-2</v>
      </c>
      <c r="P601" s="183">
        <v>9.4E-2</v>
      </c>
    </row>
    <row r="602" spans="2:16" ht="14" customHeight="1" x14ac:dyDescent="0.25">
      <c r="B602" s="170">
        <v>6</v>
      </c>
      <c r="C602" s="170" t="s">
        <v>471</v>
      </c>
      <c r="D602" s="182">
        <v>0.4</v>
      </c>
      <c r="E602" s="182">
        <v>0.3</v>
      </c>
      <c r="F602" s="183">
        <f t="shared" si="210"/>
        <v>0.33333333333333348</v>
      </c>
      <c r="G602" s="183">
        <f t="shared" si="211"/>
        <v>1.9801980198019802E-2</v>
      </c>
      <c r="H602" s="183">
        <f t="shared" si="212"/>
        <v>2.2556390977443608E-2</v>
      </c>
      <c r="I602" s="180"/>
      <c r="J602" s="170">
        <v>6</v>
      </c>
      <c r="K602" s="170" t="s">
        <v>471</v>
      </c>
      <c r="L602" s="225">
        <v>0.7</v>
      </c>
      <c r="M602" s="226">
        <v>0.6</v>
      </c>
      <c r="N602" s="183">
        <v>0.13300000000000001</v>
      </c>
      <c r="O602" s="183">
        <v>1.9E-2</v>
      </c>
      <c r="P602" s="183">
        <v>2.5999999999999999E-2</v>
      </c>
    </row>
    <row r="603" spans="2:16" ht="14" customHeight="1" x14ac:dyDescent="0.25">
      <c r="B603" s="170">
        <v>7</v>
      </c>
      <c r="C603" s="170" t="s">
        <v>69</v>
      </c>
      <c r="D603" s="182">
        <v>0.4</v>
      </c>
      <c r="E603" s="182">
        <v>0.1</v>
      </c>
      <c r="F603" s="183">
        <f t="shared" si="210"/>
        <v>3</v>
      </c>
      <c r="G603" s="183">
        <f t="shared" si="211"/>
        <v>1.9801980198019802E-2</v>
      </c>
      <c r="H603" s="183">
        <f t="shared" si="212"/>
        <v>7.5187969924812026E-3</v>
      </c>
      <c r="I603" s="180"/>
      <c r="J603" s="170">
        <v>7</v>
      </c>
      <c r="K603" s="170" t="s">
        <v>69</v>
      </c>
      <c r="L603" s="225">
        <v>0.7</v>
      </c>
      <c r="M603" s="226">
        <v>0.1</v>
      </c>
      <c r="N603" s="183">
        <v>5.4690000000000003</v>
      </c>
      <c r="O603" s="183">
        <v>1.7999999999999999E-2</v>
      </c>
      <c r="P603" s="183">
        <v>4.0000000000000001E-3</v>
      </c>
    </row>
    <row r="604" spans="2:16" ht="14" customHeight="1" x14ac:dyDescent="0.25">
      <c r="B604" s="170">
        <v>8</v>
      </c>
      <c r="C604" s="7" t="s">
        <v>185</v>
      </c>
      <c r="D604" s="182">
        <v>0.2</v>
      </c>
      <c r="E604" s="182">
        <v>0.1</v>
      </c>
      <c r="F604" s="183">
        <f t="shared" si="210"/>
        <v>1</v>
      </c>
      <c r="G604" s="183">
        <f t="shared" si="211"/>
        <v>9.9009900990099011E-3</v>
      </c>
      <c r="H604" s="183">
        <f t="shared" si="212"/>
        <v>7.5187969924812026E-3</v>
      </c>
      <c r="I604" s="180"/>
      <c r="J604" s="170">
        <v>8</v>
      </c>
      <c r="K604" s="7" t="s">
        <v>185</v>
      </c>
      <c r="L604" s="225">
        <v>0.4</v>
      </c>
      <c r="M604" s="226">
        <v>0.1</v>
      </c>
      <c r="N604" s="183">
        <v>2.702</v>
      </c>
      <c r="O604" s="183">
        <v>1.0999999999999999E-2</v>
      </c>
      <c r="P604" s="183">
        <v>4.0000000000000001E-3</v>
      </c>
    </row>
    <row r="605" spans="2:16" ht="14" customHeight="1" x14ac:dyDescent="0.25">
      <c r="B605" s="170">
        <v>9</v>
      </c>
      <c r="C605" s="7" t="s">
        <v>28</v>
      </c>
      <c r="D605" s="182">
        <v>0.2</v>
      </c>
      <c r="E605" s="182">
        <v>0.1</v>
      </c>
      <c r="F605" s="183">
        <f t="shared" si="210"/>
        <v>1</v>
      </c>
      <c r="G605" s="183">
        <f t="shared" si="211"/>
        <v>9.9009900990099011E-3</v>
      </c>
      <c r="H605" s="183">
        <f t="shared" si="212"/>
        <v>7.5187969924812026E-3</v>
      </c>
      <c r="I605" s="180"/>
      <c r="J605" s="170">
        <v>9</v>
      </c>
      <c r="K605" s="170" t="s">
        <v>28</v>
      </c>
      <c r="L605" s="225">
        <v>0.4</v>
      </c>
      <c r="M605" s="226">
        <v>0.3</v>
      </c>
      <c r="N605" s="183">
        <v>0.224</v>
      </c>
      <c r="O605" s="183">
        <v>0.01</v>
      </c>
      <c r="P605" s="183">
        <v>1.2999999999999999E-2</v>
      </c>
    </row>
    <row r="606" spans="2:16" ht="14" customHeight="1" x14ac:dyDescent="0.25">
      <c r="B606" s="170">
        <v>10</v>
      </c>
      <c r="C606" s="170" t="s">
        <v>129</v>
      </c>
      <c r="D606" s="182">
        <v>0.2</v>
      </c>
      <c r="E606" s="182">
        <v>0.1</v>
      </c>
      <c r="F606" s="183">
        <f t="shared" si="210"/>
        <v>1</v>
      </c>
      <c r="G606" s="183">
        <f t="shared" si="211"/>
        <v>9.9009900990099011E-3</v>
      </c>
      <c r="H606" s="183">
        <f t="shared" si="212"/>
        <v>7.5187969924812026E-3</v>
      </c>
      <c r="I606" s="180"/>
      <c r="J606" s="170">
        <v>10</v>
      </c>
      <c r="K606" s="7" t="s">
        <v>181</v>
      </c>
      <c r="L606" s="225">
        <v>0.3</v>
      </c>
      <c r="M606" s="226">
        <v>0.2</v>
      </c>
      <c r="N606" s="183">
        <v>0.65</v>
      </c>
      <c r="O606" s="183">
        <v>7.0000000000000001E-3</v>
      </c>
      <c r="P606" s="183">
        <v>7.0000000000000001E-3</v>
      </c>
    </row>
    <row r="607" spans="2:16" ht="14" customHeight="1" x14ac:dyDescent="0.25">
      <c r="B607" s="340" t="s">
        <v>77</v>
      </c>
      <c r="C607" s="341"/>
      <c r="D607" s="182">
        <v>0.3</v>
      </c>
      <c r="E607" s="182">
        <v>0.2</v>
      </c>
      <c r="F607" s="183">
        <f t="shared" si="210"/>
        <v>0.49999999999999978</v>
      </c>
      <c r="G607" s="183">
        <f t="shared" si="211"/>
        <v>1.4851485148514851E-2</v>
      </c>
      <c r="H607" s="183">
        <f t="shared" si="212"/>
        <v>1.5037593984962405E-2</v>
      </c>
      <c r="I607" s="180"/>
      <c r="J607" s="342" t="s">
        <v>77</v>
      </c>
      <c r="K607" s="342"/>
      <c r="L607" s="225">
        <v>0.7</v>
      </c>
      <c r="M607" s="226">
        <v>0.5</v>
      </c>
      <c r="N607" s="183">
        <v>0.35099999999999998</v>
      </c>
      <c r="O607" s="183">
        <v>0.02</v>
      </c>
      <c r="P607" s="183">
        <v>2.1999999999999999E-2</v>
      </c>
    </row>
    <row r="608" spans="2:16" ht="14" customHeight="1" x14ac:dyDescent="0.25">
      <c r="B608" s="340" t="s">
        <v>78</v>
      </c>
      <c r="C608" s="341"/>
      <c r="D608" s="182">
        <v>20.2</v>
      </c>
      <c r="E608" s="182">
        <v>13.3</v>
      </c>
      <c r="F608" s="183">
        <f t="shared" si="210"/>
        <v>0.51879699248120281</v>
      </c>
      <c r="G608" s="183">
        <f t="shared" si="211"/>
        <v>1</v>
      </c>
      <c r="H608" s="183">
        <f t="shared" si="212"/>
        <v>1</v>
      </c>
      <c r="I608" s="180"/>
      <c r="J608" s="342" t="s">
        <v>78</v>
      </c>
      <c r="K608" s="342"/>
      <c r="L608" s="225">
        <v>36.799999999999997</v>
      </c>
      <c r="M608" s="226">
        <v>24.5</v>
      </c>
      <c r="N608" s="183">
        <v>0.501</v>
      </c>
      <c r="O608" s="183">
        <v>1</v>
      </c>
      <c r="P608" s="183">
        <v>1</v>
      </c>
    </row>
    <row r="610" spans="2:9" ht="14" customHeight="1" x14ac:dyDescent="0.25">
      <c r="B610" s="10" t="s">
        <v>784</v>
      </c>
    </row>
    <row r="611" spans="2:9" ht="14" customHeight="1" x14ac:dyDescent="0.25">
      <c r="B611" s="37" t="s">
        <v>96</v>
      </c>
      <c r="C611" s="7" t="s">
        <v>123</v>
      </c>
      <c r="D611" s="146">
        <v>44927</v>
      </c>
      <c r="E611" s="146">
        <v>44562</v>
      </c>
      <c r="F611" s="7" t="s">
        <v>34</v>
      </c>
      <c r="G611" s="7" t="s">
        <v>124</v>
      </c>
      <c r="H611" s="7" t="s">
        <v>176</v>
      </c>
      <c r="I611" s="15"/>
    </row>
    <row r="612" spans="2:9" ht="14" customHeight="1" x14ac:dyDescent="0.25">
      <c r="B612" s="170">
        <v>1</v>
      </c>
      <c r="C612" s="7" t="s">
        <v>172</v>
      </c>
      <c r="D612" s="182">
        <v>4.0999999999999996</v>
      </c>
      <c r="E612" s="182">
        <v>2.7</v>
      </c>
      <c r="F612" s="183">
        <v>0.498</v>
      </c>
      <c r="G612" s="183">
        <v>0.24399999999999999</v>
      </c>
      <c r="H612" s="183">
        <v>0.24199999999999999</v>
      </c>
      <c r="I612" s="180"/>
    </row>
    <row r="613" spans="2:9" ht="14" customHeight="1" x14ac:dyDescent="0.25">
      <c r="B613" s="170">
        <v>2</v>
      </c>
      <c r="C613" s="7" t="s">
        <v>98</v>
      </c>
      <c r="D613" s="182">
        <v>4</v>
      </c>
      <c r="E613" s="182">
        <v>2.4</v>
      </c>
      <c r="F613" s="183">
        <v>0.67800000000000005</v>
      </c>
      <c r="G613" s="183">
        <v>0.24099999999999999</v>
      </c>
      <c r="H613" s="183">
        <v>0.21299999999999999</v>
      </c>
      <c r="I613" s="180"/>
    </row>
    <row r="614" spans="2:9" ht="14" customHeight="1" x14ac:dyDescent="0.25">
      <c r="B614" s="170">
        <v>3</v>
      </c>
      <c r="C614" s="7" t="s">
        <v>102</v>
      </c>
      <c r="D614" s="182">
        <v>3.7</v>
      </c>
      <c r="E614" s="182">
        <v>2.5</v>
      </c>
      <c r="F614" s="183">
        <v>0.46899999999999997</v>
      </c>
      <c r="G614" s="183">
        <v>0.221</v>
      </c>
      <c r="H614" s="183">
        <v>0.223</v>
      </c>
      <c r="I614" s="180"/>
    </row>
    <row r="615" spans="2:9" ht="14" customHeight="1" x14ac:dyDescent="0.25">
      <c r="B615" s="170">
        <v>4</v>
      </c>
      <c r="C615" s="7" t="s">
        <v>173</v>
      </c>
      <c r="D615" s="182">
        <v>1.8</v>
      </c>
      <c r="E615" s="182">
        <v>1.2</v>
      </c>
      <c r="F615" s="183">
        <v>0.56599999999999995</v>
      </c>
      <c r="G615" s="183">
        <v>0.108</v>
      </c>
      <c r="H615" s="183">
        <v>0.10299999999999999</v>
      </c>
      <c r="I615" s="180"/>
    </row>
    <row r="616" spans="2:9" ht="14" customHeight="1" x14ac:dyDescent="0.25">
      <c r="B616" s="170">
        <v>5</v>
      </c>
      <c r="C616" s="184" t="s">
        <v>25</v>
      </c>
      <c r="D616" s="182">
        <v>1.5</v>
      </c>
      <c r="E616" s="182">
        <v>1.6</v>
      </c>
      <c r="F616" s="183">
        <v>-1.2E-2</v>
      </c>
      <c r="G616" s="183">
        <v>9.1999999999999998E-2</v>
      </c>
      <c r="H616" s="183">
        <v>0.13900000000000001</v>
      </c>
      <c r="I616" s="180"/>
    </row>
    <row r="617" spans="2:9" ht="14" customHeight="1" x14ac:dyDescent="0.25">
      <c r="B617" s="170">
        <v>6</v>
      </c>
      <c r="C617" s="170" t="s">
        <v>471</v>
      </c>
      <c r="D617" s="182">
        <v>0.3</v>
      </c>
      <c r="E617" s="182">
        <v>0.3</v>
      </c>
      <c r="F617" s="183">
        <v>0.16200000000000001</v>
      </c>
      <c r="G617" s="183">
        <v>2.1000000000000001E-2</v>
      </c>
      <c r="H617" s="183">
        <v>2.7E-2</v>
      </c>
      <c r="I617" s="180"/>
    </row>
    <row r="618" spans="2:9" ht="14" customHeight="1" x14ac:dyDescent="0.25">
      <c r="B618" s="170">
        <v>7</v>
      </c>
      <c r="C618" s="170" t="s">
        <v>69</v>
      </c>
      <c r="D618" s="182">
        <v>0.3</v>
      </c>
      <c r="E618" s="182">
        <v>0</v>
      </c>
      <c r="F618" s="183">
        <v>6.3419999999999996</v>
      </c>
      <c r="G618" s="183">
        <v>1.7999999999999999E-2</v>
      </c>
      <c r="H618" s="183">
        <v>4.0000000000000001E-3</v>
      </c>
      <c r="I618" s="180"/>
    </row>
    <row r="619" spans="2:9" ht="14" customHeight="1" x14ac:dyDescent="0.25">
      <c r="B619" s="170">
        <v>8</v>
      </c>
      <c r="C619" s="7" t="s">
        <v>185</v>
      </c>
      <c r="D619" s="182">
        <v>0.2</v>
      </c>
      <c r="E619" s="182">
        <v>0</v>
      </c>
      <c r="F619" s="183">
        <v>3.7490000000000001</v>
      </c>
      <c r="G619" s="183">
        <v>1.0999999999999999E-2</v>
      </c>
      <c r="H619" s="183">
        <v>3.0000000000000001E-3</v>
      </c>
      <c r="I619" s="180"/>
    </row>
    <row r="620" spans="2:9" ht="14" customHeight="1" x14ac:dyDescent="0.25">
      <c r="B620" s="170">
        <v>9</v>
      </c>
      <c r="C620" s="7" t="s">
        <v>28</v>
      </c>
      <c r="D620" s="182">
        <v>0.2</v>
      </c>
      <c r="E620" s="182">
        <v>0.2</v>
      </c>
      <c r="F620" s="183">
        <v>0.12</v>
      </c>
      <c r="G620" s="183">
        <v>1.0999999999999999E-2</v>
      </c>
      <c r="H620" s="183">
        <v>1.4E-2</v>
      </c>
      <c r="I620" s="180"/>
    </row>
    <row r="621" spans="2:9" ht="14" customHeight="1" x14ac:dyDescent="0.25">
      <c r="B621" s="170">
        <v>10</v>
      </c>
      <c r="C621" s="170" t="s">
        <v>129</v>
      </c>
      <c r="D621" s="182">
        <v>0.1</v>
      </c>
      <c r="E621" s="182">
        <v>0.1</v>
      </c>
      <c r="F621" s="183">
        <v>0.32100000000000001</v>
      </c>
      <c r="G621" s="183">
        <v>8.0000000000000002E-3</v>
      </c>
      <c r="H621" s="183">
        <v>8.9999999999999993E-3</v>
      </c>
      <c r="I621" s="180"/>
    </row>
    <row r="622" spans="2:9" ht="14" customHeight="1" x14ac:dyDescent="0.25">
      <c r="B622" s="340" t="s">
        <v>77</v>
      </c>
      <c r="C622" s="341"/>
      <c r="D622" s="182">
        <v>0.4</v>
      </c>
      <c r="E622" s="182">
        <v>0.3</v>
      </c>
      <c r="F622" s="183">
        <v>0.433</v>
      </c>
      <c r="G622" s="183">
        <v>2.4E-2</v>
      </c>
      <c r="H622" s="183">
        <v>2.5000000000000001E-2</v>
      </c>
      <c r="I622" s="180"/>
    </row>
    <row r="623" spans="2:9" ht="14" customHeight="1" x14ac:dyDescent="0.25">
      <c r="B623" s="340" t="s">
        <v>78</v>
      </c>
      <c r="C623" s="341"/>
      <c r="D623" s="182">
        <v>16.600000000000001</v>
      </c>
      <c r="E623" s="182">
        <v>11.2</v>
      </c>
      <c r="F623" s="183">
        <v>0.48199999999999998</v>
      </c>
      <c r="G623" s="183">
        <v>1</v>
      </c>
      <c r="H623" s="183">
        <v>1</v>
      </c>
      <c r="I623" s="180"/>
    </row>
  </sheetData>
  <sortState xmlns:xlrd2="http://schemas.microsoft.com/office/spreadsheetml/2017/richdata2" ref="K117:M126">
    <sortCondition descending="1" ref="M117:M126"/>
  </sortState>
  <mergeCells count="113">
    <mergeCell ref="B247:C247"/>
    <mergeCell ref="J247:K247"/>
    <mergeCell ref="B248:C248"/>
    <mergeCell ref="J248:K248"/>
    <mergeCell ref="B262:C262"/>
    <mergeCell ref="J262:K262"/>
    <mergeCell ref="B263:C263"/>
    <mergeCell ref="J263:K263"/>
    <mergeCell ref="B277:C277"/>
    <mergeCell ref="J277:K277"/>
    <mergeCell ref="B278:C278"/>
    <mergeCell ref="J278:K278"/>
    <mergeCell ref="B292:C292"/>
    <mergeCell ref="J292:K292"/>
    <mergeCell ref="B293:C293"/>
    <mergeCell ref="J293:K293"/>
    <mergeCell ref="B307:C307"/>
    <mergeCell ref="J307:K307"/>
    <mergeCell ref="B308:C308"/>
    <mergeCell ref="J308:K308"/>
    <mergeCell ref="B322:C322"/>
    <mergeCell ref="J322:K322"/>
    <mergeCell ref="B323:C323"/>
    <mergeCell ref="J323:K323"/>
    <mergeCell ref="B337:C337"/>
    <mergeCell ref="J337:K337"/>
    <mergeCell ref="B338:C338"/>
    <mergeCell ref="J338:K338"/>
    <mergeCell ref="B352:C352"/>
    <mergeCell ref="J352:K352"/>
    <mergeCell ref="B353:C353"/>
    <mergeCell ref="J353:K353"/>
    <mergeCell ref="B367:C367"/>
    <mergeCell ref="J367:K367"/>
    <mergeCell ref="B368:C368"/>
    <mergeCell ref="J368:K368"/>
    <mergeCell ref="B382:C382"/>
    <mergeCell ref="J382:K382"/>
    <mergeCell ref="B383:C383"/>
    <mergeCell ref="J383:K383"/>
    <mergeCell ref="B397:C397"/>
    <mergeCell ref="J397:K397"/>
    <mergeCell ref="B398:C398"/>
    <mergeCell ref="J398:K398"/>
    <mergeCell ref="B412:C412"/>
    <mergeCell ref="J412:K412"/>
    <mergeCell ref="B413:C413"/>
    <mergeCell ref="J413:K413"/>
    <mergeCell ref="B427:C427"/>
    <mergeCell ref="J427:K427"/>
    <mergeCell ref="B428:C428"/>
    <mergeCell ref="J428:K428"/>
    <mergeCell ref="B442:C442"/>
    <mergeCell ref="J442:K442"/>
    <mergeCell ref="B443:C443"/>
    <mergeCell ref="J443:K443"/>
    <mergeCell ref="B457:C457"/>
    <mergeCell ref="J457:K457"/>
    <mergeCell ref="B458:C458"/>
    <mergeCell ref="J458:K458"/>
    <mergeCell ref="B472:C472"/>
    <mergeCell ref="J472:K472"/>
    <mergeCell ref="B473:C473"/>
    <mergeCell ref="J473:K473"/>
    <mergeCell ref="B487:C487"/>
    <mergeCell ref="J487:K487"/>
    <mergeCell ref="B488:C488"/>
    <mergeCell ref="J488:K488"/>
    <mergeCell ref="B502:C502"/>
    <mergeCell ref="J502:K502"/>
    <mergeCell ref="B503:C503"/>
    <mergeCell ref="J503:K503"/>
    <mergeCell ref="B517:C517"/>
    <mergeCell ref="J517:K517"/>
    <mergeCell ref="B518:C518"/>
    <mergeCell ref="J518:K518"/>
    <mergeCell ref="B532:C532"/>
    <mergeCell ref="J532:K532"/>
    <mergeCell ref="B533:C533"/>
    <mergeCell ref="J533:K533"/>
    <mergeCell ref="B547:C547"/>
    <mergeCell ref="J547:K547"/>
    <mergeCell ref="B548:C548"/>
    <mergeCell ref="J548:K548"/>
    <mergeCell ref="B562:C562"/>
    <mergeCell ref="J562:K562"/>
    <mergeCell ref="B563:C563"/>
    <mergeCell ref="J563:K563"/>
    <mergeCell ref="B577:C577"/>
    <mergeCell ref="J577:K577"/>
    <mergeCell ref="B622:C622"/>
    <mergeCell ref="B623:C623"/>
    <mergeCell ref="B578:C578"/>
    <mergeCell ref="J578:K578"/>
    <mergeCell ref="B592:C592"/>
    <mergeCell ref="J592:K592"/>
    <mergeCell ref="B593:C593"/>
    <mergeCell ref="J593:K593"/>
    <mergeCell ref="B607:C607"/>
    <mergeCell ref="J607:K607"/>
    <mergeCell ref="B608:C608"/>
    <mergeCell ref="J608:K608"/>
    <mergeCell ref="D11:E11"/>
    <mergeCell ref="D12:E12"/>
    <mergeCell ref="D2:E2"/>
    <mergeCell ref="D3:E3"/>
    <mergeCell ref="D4:E4"/>
    <mergeCell ref="D5:E5"/>
    <mergeCell ref="D6:E6"/>
    <mergeCell ref="D7:E7"/>
    <mergeCell ref="D8:E8"/>
    <mergeCell ref="D9:E9"/>
    <mergeCell ref="D10:E10"/>
  </mergeCells>
  <phoneticPr fontId="14" type="noConversion"/>
  <pageMargins left="0.7" right="0.7" top="0.75" bottom="0.75" header="0.3" footer="0.3"/>
  <pageSetup paperSize="9" orientation="portrait" horizontalDpi="1200" verticalDpi="1200"/>
  <ignoredErrors>
    <ignoredError sqref="E592 D187:E187" formulaRange="1"/>
    <ignoredError sqref="E48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435"/>
  <sheetViews>
    <sheetView topLeftCell="B1" workbookViewId="0">
      <selection activeCell="E16" sqref="E16"/>
    </sheetView>
  </sheetViews>
  <sheetFormatPr defaultColWidth="8.59765625" defaultRowHeight="14" customHeight="1" x14ac:dyDescent="0.25"/>
  <cols>
    <col min="1" max="1" width="5.69921875" style="214" customWidth="1"/>
    <col min="2" max="14" width="12.69921875" style="15" customWidth="1"/>
    <col min="15" max="15" width="9.8984375" style="6" customWidth="1"/>
    <col min="16" max="16" width="8.59765625" style="6" customWidth="1"/>
    <col min="17" max="17" width="7.8984375" style="6" customWidth="1"/>
    <col min="18" max="18" width="11.09765625" style="6" customWidth="1"/>
    <col min="19" max="19" width="12.59765625" style="6" customWidth="1"/>
    <col min="20" max="20" width="10.3984375" style="6" customWidth="1"/>
    <col min="21" max="21" width="8.59765625" style="6" customWidth="1"/>
    <col min="22" max="22" width="13" style="6" customWidth="1"/>
    <col min="23" max="23" width="10.8984375" style="6" customWidth="1"/>
    <col min="24" max="24" width="9.8984375" style="6" customWidth="1"/>
    <col min="25" max="25" width="12" style="6" customWidth="1"/>
    <col min="26" max="27" width="8.59765625" style="6" customWidth="1"/>
    <col min="28" max="32" width="8.59765625" style="6"/>
    <col min="33" max="33" width="11.8984375" style="6" customWidth="1"/>
    <col min="34" max="40" width="8.59765625" style="6"/>
    <col min="41" max="41" width="12.8984375" style="6"/>
    <col min="42" max="16384" width="8.59765625" style="6"/>
  </cols>
  <sheetData>
    <row r="1" spans="1:14" ht="12.55" customHeight="1" x14ac:dyDescent="0.25">
      <c r="A1" s="154"/>
      <c r="B1" s="154" t="s">
        <v>872</v>
      </c>
      <c r="C1" s="187"/>
      <c r="D1" s="187"/>
      <c r="E1" s="187"/>
      <c r="F1" s="187"/>
      <c r="G1" s="187"/>
      <c r="H1" s="187"/>
      <c r="I1" s="187"/>
      <c r="J1" s="187"/>
      <c r="K1" s="187"/>
      <c r="L1" s="187"/>
      <c r="M1" s="187"/>
      <c r="N1" s="187"/>
    </row>
    <row r="2" spans="1:14" ht="12.55" customHeight="1" x14ac:dyDescent="0.25">
      <c r="A2" s="154"/>
      <c r="B2" s="124">
        <v>2026</v>
      </c>
      <c r="C2" s="124" t="s">
        <v>693</v>
      </c>
      <c r="D2" s="124" t="s">
        <v>694</v>
      </c>
      <c r="E2" s="124" t="s">
        <v>695</v>
      </c>
      <c r="F2" s="124" t="s">
        <v>696</v>
      </c>
      <c r="G2" s="124" t="s">
        <v>697</v>
      </c>
      <c r="H2" s="124" t="s">
        <v>698</v>
      </c>
      <c r="I2" s="124" t="s">
        <v>699</v>
      </c>
      <c r="J2" s="124" t="s">
        <v>700</v>
      </c>
      <c r="K2" s="124" t="s">
        <v>701</v>
      </c>
      <c r="L2" s="124" t="s">
        <v>702</v>
      </c>
      <c r="M2" s="124" t="s">
        <v>703</v>
      </c>
      <c r="N2" s="124" t="s">
        <v>704</v>
      </c>
    </row>
    <row r="3" spans="1:14" ht="12.55" customHeight="1" x14ac:dyDescent="0.25">
      <c r="A3" s="154"/>
      <c r="B3" s="147" t="s">
        <v>17</v>
      </c>
      <c r="C3" s="190">
        <v>20.91</v>
      </c>
      <c r="D3" s="190">
        <v>12.9</v>
      </c>
      <c r="E3" s="190">
        <v>25.71</v>
      </c>
      <c r="F3" s="190">
        <v>29.06</v>
      </c>
      <c r="G3" s="190">
        <v>33.08</v>
      </c>
      <c r="H3" s="190"/>
      <c r="I3" s="190"/>
      <c r="J3" s="190"/>
      <c r="K3" s="190"/>
      <c r="L3" s="190"/>
      <c r="M3" s="190"/>
      <c r="N3" s="190"/>
    </row>
    <row r="4" spans="1:14" ht="12.55" customHeight="1" x14ac:dyDescent="0.25">
      <c r="A4" s="154"/>
      <c r="B4" s="149" t="s">
        <v>15</v>
      </c>
      <c r="C4" s="189">
        <v>7.32</v>
      </c>
      <c r="D4" s="189">
        <v>3.56</v>
      </c>
      <c r="E4" s="189">
        <v>10.06</v>
      </c>
      <c r="F4" s="189">
        <v>10.49</v>
      </c>
      <c r="G4" s="189">
        <v>11.87</v>
      </c>
      <c r="H4" s="189"/>
      <c r="I4" s="189"/>
      <c r="J4" s="189"/>
      <c r="K4" s="189"/>
      <c r="L4" s="189"/>
      <c r="M4" s="189"/>
      <c r="N4" s="189"/>
    </row>
    <row r="5" spans="1:14" ht="12.55" customHeight="1" x14ac:dyDescent="0.25">
      <c r="A5" s="154"/>
      <c r="B5" s="294" t="s">
        <v>913</v>
      </c>
      <c r="C5" s="190">
        <v>2.5499999999999998</v>
      </c>
      <c r="D5" s="190">
        <v>1.39</v>
      </c>
      <c r="E5" s="190">
        <v>3.37</v>
      </c>
      <c r="F5" s="190">
        <v>4.05</v>
      </c>
      <c r="G5" s="190">
        <v>4.4400000000000004</v>
      </c>
      <c r="H5" s="190"/>
      <c r="I5" s="190"/>
      <c r="J5" s="190"/>
      <c r="K5" s="190"/>
      <c r="L5" s="190"/>
      <c r="M5" s="190"/>
      <c r="N5" s="190"/>
    </row>
    <row r="6" spans="1:14" ht="12.55" customHeight="1" x14ac:dyDescent="0.25">
      <c r="A6" s="154"/>
      <c r="B6" s="149" t="s">
        <v>21</v>
      </c>
      <c r="C6" s="189">
        <v>2.2200000000000002</v>
      </c>
      <c r="D6" s="189">
        <v>1.58</v>
      </c>
      <c r="E6" s="189">
        <v>3.52</v>
      </c>
      <c r="F6" s="189">
        <v>3.9</v>
      </c>
      <c r="G6" s="189">
        <v>4.3</v>
      </c>
      <c r="H6" s="189"/>
      <c r="I6" s="189"/>
      <c r="J6" s="189"/>
      <c r="K6" s="189"/>
      <c r="L6" s="189"/>
      <c r="M6" s="189"/>
      <c r="N6" s="189"/>
    </row>
    <row r="7" spans="1:14" ht="12.55" customHeight="1" x14ac:dyDescent="0.25">
      <c r="A7" s="154"/>
      <c r="B7" s="147" t="s">
        <v>32</v>
      </c>
      <c r="C7" s="190">
        <v>2.0699999999999998</v>
      </c>
      <c r="D7" s="190">
        <v>1.2</v>
      </c>
      <c r="E7" s="190">
        <v>2.74</v>
      </c>
      <c r="F7" s="190">
        <v>3.11</v>
      </c>
      <c r="G7" s="190">
        <v>3.23</v>
      </c>
      <c r="H7" s="190"/>
      <c r="I7" s="190"/>
      <c r="J7" s="190"/>
      <c r="K7" s="190"/>
      <c r="L7" s="190"/>
      <c r="M7" s="190"/>
      <c r="N7" s="190"/>
    </row>
    <row r="8" spans="1:14" ht="12.55" customHeight="1" x14ac:dyDescent="0.25">
      <c r="A8" s="154"/>
      <c r="B8" s="149" t="s">
        <v>54</v>
      </c>
      <c r="C8" s="189">
        <v>1.28</v>
      </c>
      <c r="D8" s="189">
        <v>0.82</v>
      </c>
      <c r="E8" s="189">
        <v>1.54</v>
      </c>
      <c r="F8" s="189">
        <v>2.14</v>
      </c>
      <c r="G8" s="189">
        <v>2.63</v>
      </c>
      <c r="H8" s="189"/>
      <c r="I8" s="189"/>
      <c r="J8" s="189"/>
      <c r="K8" s="189"/>
      <c r="L8" s="189"/>
      <c r="M8" s="189"/>
      <c r="N8" s="189"/>
    </row>
    <row r="9" spans="1:14" ht="12.55" customHeight="1" x14ac:dyDescent="0.25">
      <c r="A9" s="154"/>
      <c r="B9" s="147" t="s">
        <v>56</v>
      </c>
      <c r="C9" s="190">
        <v>0.87</v>
      </c>
      <c r="D9" s="190">
        <v>0.54</v>
      </c>
      <c r="E9" s="190">
        <v>1.31</v>
      </c>
      <c r="F9" s="190">
        <v>1.96</v>
      </c>
      <c r="G9" s="190">
        <v>2.2999999999999998</v>
      </c>
      <c r="H9" s="190"/>
      <c r="I9" s="190"/>
      <c r="J9" s="190"/>
      <c r="K9" s="190"/>
      <c r="L9" s="190"/>
      <c r="M9" s="190"/>
      <c r="N9" s="190"/>
    </row>
    <row r="10" spans="1:14" ht="12.55" customHeight="1" x14ac:dyDescent="0.25">
      <c r="A10" s="154"/>
      <c r="B10" s="149" t="s">
        <v>785</v>
      </c>
      <c r="C10" s="189">
        <v>0.77</v>
      </c>
      <c r="D10" s="189">
        <v>0.66</v>
      </c>
      <c r="E10" s="189">
        <v>1.35</v>
      </c>
      <c r="F10" s="189">
        <v>1.83</v>
      </c>
      <c r="G10" s="189">
        <v>1.82</v>
      </c>
      <c r="H10" s="189"/>
      <c r="I10" s="189"/>
      <c r="J10" s="189"/>
      <c r="K10" s="189"/>
      <c r="L10" s="189"/>
      <c r="M10" s="189"/>
      <c r="N10" s="189"/>
    </row>
    <row r="11" spans="1:14" ht="12.55" customHeight="1" x14ac:dyDescent="0.25">
      <c r="A11" s="154"/>
      <c r="B11" s="147" t="s">
        <v>30</v>
      </c>
      <c r="C11" s="190">
        <v>1.18</v>
      </c>
      <c r="D11" s="190">
        <v>0.75</v>
      </c>
      <c r="E11" s="190">
        <v>1.4</v>
      </c>
      <c r="F11" s="190">
        <v>1.49</v>
      </c>
      <c r="G11" s="190">
        <v>2.21</v>
      </c>
      <c r="H11" s="190"/>
      <c r="I11" s="190"/>
      <c r="J11" s="190"/>
      <c r="K11" s="190"/>
      <c r="L11" s="190"/>
      <c r="M11" s="190"/>
      <c r="N11" s="190"/>
    </row>
    <row r="12" spans="1:14" ht="12.55" customHeight="1" x14ac:dyDescent="0.25">
      <c r="A12" s="154"/>
      <c r="B12" s="149" t="s">
        <v>35</v>
      </c>
      <c r="C12" s="189">
        <v>1.05</v>
      </c>
      <c r="D12" s="189">
        <v>0.34</v>
      </c>
      <c r="E12" s="189">
        <v>1.04</v>
      </c>
      <c r="F12" s="189">
        <v>1.1399999999999999</v>
      </c>
      <c r="G12" s="189">
        <v>1.29</v>
      </c>
      <c r="H12" s="189"/>
      <c r="I12" s="189"/>
      <c r="J12" s="189"/>
      <c r="K12" s="189"/>
      <c r="L12" s="189"/>
      <c r="M12" s="189"/>
      <c r="N12" s="189"/>
    </row>
    <row r="13" spans="1:14" ht="12.55" customHeight="1" x14ac:dyDescent="0.25">
      <c r="A13" s="154"/>
      <c r="B13" s="188" t="s">
        <v>893</v>
      </c>
      <c r="C13" s="190">
        <v>0.31</v>
      </c>
      <c r="D13" s="190">
        <v>0.34</v>
      </c>
      <c r="E13" s="190">
        <v>0.88</v>
      </c>
      <c r="F13" s="190">
        <v>0.9</v>
      </c>
      <c r="G13" s="190">
        <v>0.82</v>
      </c>
      <c r="H13" s="190"/>
      <c r="I13" s="190"/>
      <c r="J13" s="190"/>
      <c r="K13" s="190"/>
      <c r="L13" s="190"/>
      <c r="M13" s="190"/>
      <c r="N13" s="190"/>
    </row>
    <row r="14" spans="1:14" ht="12.55" customHeight="1" x14ac:dyDescent="0.25">
      <c r="B14" s="149" t="s">
        <v>892</v>
      </c>
      <c r="C14" s="189">
        <v>0.38</v>
      </c>
      <c r="D14" s="189">
        <v>0.21</v>
      </c>
      <c r="E14" s="189">
        <v>0.28999999999999998</v>
      </c>
      <c r="F14" s="189">
        <v>0.44</v>
      </c>
      <c r="G14" s="189">
        <v>0.6</v>
      </c>
      <c r="H14" s="189"/>
      <c r="I14" s="189"/>
      <c r="J14" s="189"/>
      <c r="K14" s="189"/>
      <c r="L14" s="189"/>
      <c r="M14" s="189"/>
      <c r="N14" s="189"/>
    </row>
    <row r="15" spans="1:14" ht="12.55" customHeight="1" x14ac:dyDescent="0.25">
      <c r="B15" s="188" t="s">
        <v>896</v>
      </c>
      <c r="C15" s="190">
        <v>0.18</v>
      </c>
      <c r="D15" s="190">
        <v>0.18</v>
      </c>
      <c r="E15" s="190">
        <v>0.35</v>
      </c>
      <c r="F15" s="190">
        <v>0.36</v>
      </c>
      <c r="G15" s="190">
        <v>0.24</v>
      </c>
      <c r="H15" s="190"/>
      <c r="I15" s="190"/>
      <c r="J15" s="190"/>
      <c r="K15" s="190"/>
      <c r="L15" s="190"/>
      <c r="M15" s="190"/>
      <c r="N15" s="190"/>
    </row>
    <row r="16" spans="1:14" ht="12.55" customHeight="1" x14ac:dyDescent="0.25">
      <c r="B16" s="133" t="s">
        <v>20</v>
      </c>
      <c r="C16" s="189">
        <v>0.3</v>
      </c>
      <c r="D16" s="189">
        <v>1.42</v>
      </c>
      <c r="E16" s="189">
        <v>1.92</v>
      </c>
      <c r="F16" s="189">
        <v>0.35</v>
      </c>
      <c r="G16" s="189">
        <v>1.54</v>
      </c>
      <c r="H16" s="189"/>
      <c r="I16" s="189"/>
      <c r="J16" s="189"/>
      <c r="K16" s="189"/>
      <c r="L16" s="189"/>
      <c r="M16" s="189"/>
      <c r="N16" s="189"/>
    </row>
    <row r="17" spans="1:14" ht="12.55" customHeight="1" x14ac:dyDescent="0.25">
      <c r="A17" s="154"/>
      <c r="B17" s="147"/>
      <c r="C17" s="190"/>
      <c r="D17" s="190"/>
      <c r="E17" s="190"/>
      <c r="F17" s="190"/>
      <c r="G17" s="190"/>
      <c r="H17" s="190"/>
      <c r="I17" s="190"/>
      <c r="J17" s="190"/>
      <c r="K17" s="190"/>
      <c r="L17" s="190"/>
      <c r="M17" s="190"/>
      <c r="N17" s="190"/>
    </row>
    <row r="18" spans="1:14" ht="12.55" customHeight="1" x14ac:dyDescent="0.25">
      <c r="A18" s="154"/>
      <c r="B18" s="124">
        <v>2025</v>
      </c>
      <c r="C18" s="124" t="s">
        <v>693</v>
      </c>
      <c r="D18" s="124" t="s">
        <v>694</v>
      </c>
      <c r="E18" s="124" t="s">
        <v>695</v>
      </c>
      <c r="F18" s="124" t="s">
        <v>696</v>
      </c>
      <c r="G18" s="124" t="s">
        <v>697</v>
      </c>
      <c r="H18" s="124" t="s">
        <v>698</v>
      </c>
      <c r="I18" s="124" t="s">
        <v>699</v>
      </c>
      <c r="J18" s="124" t="s">
        <v>700</v>
      </c>
      <c r="K18" s="124" t="s">
        <v>701</v>
      </c>
      <c r="L18" s="124" t="s">
        <v>702</v>
      </c>
      <c r="M18" s="124" t="s">
        <v>703</v>
      </c>
      <c r="N18" s="124" t="s">
        <v>704</v>
      </c>
    </row>
    <row r="19" spans="1:14" ht="12.55" customHeight="1" x14ac:dyDescent="0.25">
      <c r="A19" s="154"/>
      <c r="B19" s="149" t="s">
        <v>68</v>
      </c>
      <c r="C19" s="189">
        <f>VLOOKUP($B19,$C$345:$D$359,2,0)</f>
        <v>18.25</v>
      </c>
      <c r="D19" s="189">
        <f>VLOOKUP($B19,$C$325:$D$339,2,0)</f>
        <v>15.43</v>
      </c>
      <c r="E19" s="189">
        <f>VLOOKUP($B19,$C$305:$D$319,2,0)</f>
        <v>23.84</v>
      </c>
      <c r="F19" s="189">
        <f>VLOOKUP($B19,$C$286:$D$300,2,0)</f>
        <v>21.2</v>
      </c>
      <c r="G19" s="189">
        <f>VLOOKUP($B19,$C$267:$D$281,2,0)</f>
        <v>24.47</v>
      </c>
      <c r="H19" s="189">
        <f>VLOOKUP($B19,$C$249:$D$263,2,0)</f>
        <v>25.41</v>
      </c>
      <c r="I19" s="189">
        <f>VLOOKUP($B19,$C$231:$D$245,2,0)</f>
        <v>23.11</v>
      </c>
      <c r="J19" s="189">
        <f>VLOOKUP($B19,$C$213:$D$227,2,0)</f>
        <v>26.45</v>
      </c>
      <c r="K19" s="189">
        <f>VLOOKUP($B19,$C$195:$D$209,2,0)</f>
        <v>32.51</v>
      </c>
      <c r="L19" s="189">
        <f>VLOOKUP($B19,$C$177:$D$191,2,0)</f>
        <v>36.14</v>
      </c>
      <c r="M19" s="189">
        <f>VLOOKUP($B19,$C$159:$D$173,2,0)</f>
        <v>40.869999999999997</v>
      </c>
      <c r="N19" s="189">
        <f>VLOOKUP($B19,$C$140:$D$155,2,0)</f>
        <v>45.71</v>
      </c>
    </row>
    <row r="20" spans="1:14" ht="12.55" customHeight="1" x14ac:dyDescent="0.25">
      <c r="A20" s="154"/>
      <c r="B20" s="147" t="s">
        <v>69</v>
      </c>
      <c r="C20" s="190">
        <f>VLOOKUP($B20,$C$345:$D$359,2,0)</f>
        <v>8.8800000000000008</v>
      </c>
      <c r="D20" s="190">
        <f>VLOOKUP($B20,$C$325:$D$339,2,0)</f>
        <v>8.1999999999999993</v>
      </c>
      <c r="E20" s="190">
        <f>VLOOKUP($B20,$C$305:$D$319,2,0)</f>
        <v>13.79</v>
      </c>
      <c r="F20" s="190">
        <f>VLOOKUP($B20,$C$286:$D$300,2,0)</f>
        <v>14.17</v>
      </c>
      <c r="G20" s="190">
        <f>VLOOKUP($B20,$C$267:$D$281,2,0)</f>
        <v>12.84</v>
      </c>
      <c r="H20" s="190">
        <f>VLOOKUP($B20,$C$249:$D$263,2,0)</f>
        <v>12.49</v>
      </c>
      <c r="I20" s="190">
        <f>VLOOKUP($B20,$C$231:$D$245,2,0)</f>
        <v>11.83</v>
      </c>
      <c r="J20" s="190">
        <f>VLOOKUP($B20,$C$213:$D$227,2,0)</f>
        <v>13.02</v>
      </c>
      <c r="K20" s="190">
        <f>VLOOKUP($B20,$C$195:$D$209,2,0)</f>
        <v>16</v>
      </c>
      <c r="L20" s="190">
        <f>VLOOKUP($B20,$C$177:$D$191,2,0)</f>
        <v>17.89</v>
      </c>
      <c r="M20" s="190">
        <f>VLOOKUP($B20,$C$159:$D$173,2,0)</f>
        <v>19.04</v>
      </c>
      <c r="N20" s="190">
        <f>VLOOKUP($B20,$C$140:$D$155,2,0)</f>
        <v>17.63</v>
      </c>
    </row>
    <row r="21" spans="1:14" ht="12.55" customHeight="1" x14ac:dyDescent="0.25">
      <c r="A21" s="154"/>
      <c r="B21" s="149" t="s">
        <v>71</v>
      </c>
      <c r="C21" s="189">
        <f>VLOOKUP($B21,$C$345:$D$359,2,0)</f>
        <v>2.42</v>
      </c>
      <c r="D21" s="189">
        <f>VLOOKUP($B21,$C$325:$D$339,2,0)</f>
        <v>1.68</v>
      </c>
      <c r="E21" s="189">
        <f>VLOOKUP($B21,$C$305:$D$319,2,0)</f>
        <v>2.9</v>
      </c>
      <c r="F21" s="189">
        <f>VLOOKUP($B21,$C$286:$D$300,2,0)</f>
        <v>3.78</v>
      </c>
      <c r="G21" s="189">
        <f>VLOOKUP($B21,$C$267:$D$281,2,0)</f>
        <v>4.3</v>
      </c>
      <c r="H21" s="189">
        <f>VLOOKUP($B21,$C$249:$D$263,2,0)</f>
        <v>4.3899999999999997</v>
      </c>
      <c r="I21" s="189">
        <f>VLOOKUP($B21,$C$231:$D$245,2,0)</f>
        <v>4.6900000000000004</v>
      </c>
      <c r="J21" s="189">
        <f>VLOOKUP($B21,$C$213:$D$227,2,0)</f>
        <v>5.03</v>
      </c>
      <c r="K21" s="189">
        <f>VLOOKUP($B21,$C$195:$D$209,2,0)</f>
        <v>5.6</v>
      </c>
      <c r="L21" s="189">
        <f>VLOOKUP($B21,$C$177:$D$191,2,0)</f>
        <v>5.87</v>
      </c>
      <c r="M21" s="189">
        <f>VLOOKUP($B21,$C$159:$D$173,2,0)</f>
        <v>5.96</v>
      </c>
      <c r="N21" s="189">
        <f>VLOOKUP($B21,$C$140:$D$155,2,0)</f>
        <v>7</v>
      </c>
    </row>
    <row r="22" spans="1:14" ht="12.55" customHeight="1" x14ac:dyDescent="0.25">
      <c r="A22" s="154"/>
      <c r="B22" s="147" t="s">
        <v>70</v>
      </c>
      <c r="C22" s="190">
        <f>VLOOKUP($B22,$C$345:$D$359,2,0)</f>
        <v>1.9</v>
      </c>
      <c r="D22" s="190">
        <f>VLOOKUP($B22,$C$325:$D$339,2,0)</f>
        <v>1.81</v>
      </c>
      <c r="E22" s="190">
        <f>VLOOKUP($B22,$C$305:$D$319,2,0)</f>
        <v>2.71</v>
      </c>
      <c r="F22" s="190">
        <f>VLOOKUP($B22,$C$286:$D$300,2,0)</f>
        <v>3.14</v>
      </c>
      <c r="G22" s="190">
        <f>VLOOKUP($B22,$C$267:$D$281,2,0)</f>
        <v>3</v>
      </c>
      <c r="H22" s="190">
        <f>VLOOKUP($B22,$C$249:$D$263,2,0)</f>
        <v>2.92</v>
      </c>
      <c r="I22" s="190">
        <f>VLOOKUP($B22,$C$231:$D$245,2,0)</f>
        <v>2.7</v>
      </c>
      <c r="J22" s="190">
        <f>VLOOKUP($B22,$C$213:$D$227,2,0)</f>
        <v>3.67</v>
      </c>
      <c r="K22" s="190">
        <f>VLOOKUP($B22,$C$195:$D$209,2,0)</f>
        <v>4.42</v>
      </c>
      <c r="L22" s="190">
        <f>VLOOKUP($B22,$C$177:$D$191,2,0)</f>
        <v>5.58</v>
      </c>
      <c r="M22" s="190">
        <f>VLOOKUP($B22,$C$159:$D$173,2,0)</f>
        <v>5.89</v>
      </c>
      <c r="N22" s="190">
        <f>VLOOKUP($B22,$C$140:$D$155,2,0)</f>
        <v>5.7</v>
      </c>
    </row>
    <row r="23" spans="1:14" ht="12.55" customHeight="1" x14ac:dyDescent="0.25">
      <c r="A23" s="154"/>
      <c r="B23" s="149" t="s">
        <v>73</v>
      </c>
      <c r="C23" s="189">
        <f>VLOOKUP($B23,$C$345:$D$359,2,0)</f>
        <v>1.53</v>
      </c>
      <c r="D23" s="189">
        <f>VLOOKUP($B23,$C$325:$D$339,2,0)</f>
        <v>1.73</v>
      </c>
      <c r="E23" s="189">
        <f>VLOOKUP($B23,$C$305:$D$319,2,0)</f>
        <v>2.34</v>
      </c>
      <c r="F23" s="189">
        <f>VLOOKUP($B23,$C$286:$D$300,2,0)</f>
        <v>1.99</v>
      </c>
      <c r="G23" s="189">
        <f>VLOOKUP($B23,$C$267:$D$281,2,0)</f>
        <v>2.09</v>
      </c>
      <c r="H23" s="189">
        <f>VLOOKUP($B23,$C$249:$D$263,2,0)</f>
        <v>2.5299999999999998</v>
      </c>
      <c r="I23" s="189">
        <f>VLOOKUP($B23,$C$231:$D$245,2,0)</f>
        <v>2.54</v>
      </c>
      <c r="J23" s="189">
        <f>VLOOKUP($B23,$C$213:$D$227,2,0)</f>
        <v>2.74</v>
      </c>
      <c r="K23" s="189">
        <f>VLOOKUP($B23,$C$195:$D$209,2,0)</f>
        <v>3.11</v>
      </c>
      <c r="L23" s="189">
        <f>VLOOKUP($B23,$C$177:$D$191,2,0)</f>
        <v>3.26</v>
      </c>
      <c r="M23" s="189">
        <f>VLOOKUP($B23,$C$159:$D$173,2,0)</f>
        <v>3.59</v>
      </c>
      <c r="N23" s="189">
        <f>VLOOKUP($B23,$C$140:$D$155,2,0)</f>
        <v>4.33</v>
      </c>
    </row>
    <row r="24" spans="1:14" ht="12.55" customHeight="1" x14ac:dyDescent="0.25">
      <c r="A24" s="154"/>
      <c r="B24" s="147" t="s">
        <v>129</v>
      </c>
      <c r="C24" s="190">
        <f>VLOOKUP($B24,$C$345:$D$359,2,0)</f>
        <v>0.77</v>
      </c>
      <c r="D24" s="190">
        <f>VLOOKUP($B24,$C$325:$D$339,2,0)</f>
        <v>0.56999999999999995</v>
      </c>
      <c r="E24" s="190">
        <f>VLOOKUP($B24,$C$305:$D$319,2,0)</f>
        <v>1.64</v>
      </c>
      <c r="F24" s="190">
        <f>VLOOKUP($B24,$C$286:$D$300,2,0)</f>
        <v>1.68</v>
      </c>
      <c r="G24" s="190">
        <f>VLOOKUP($B24,$C$267:$D$281,2,0)</f>
        <v>2.2400000000000002</v>
      </c>
      <c r="H24" s="190">
        <f>VLOOKUP($B24,$C$249:$D$263,2,0)</f>
        <v>2.17</v>
      </c>
      <c r="I24" s="190">
        <f>VLOOKUP($B24,$C$231:$D$245,2,0)</f>
        <v>2.2400000000000002</v>
      </c>
      <c r="J24" s="190">
        <f>VLOOKUP($B24,$C$213:$D$227,2,0)</f>
        <v>2.4500000000000002</v>
      </c>
      <c r="K24" s="190">
        <f>VLOOKUP($B24,$C$195:$D$209,2,0)</f>
        <v>2.73</v>
      </c>
      <c r="L24" s="190">
        <f>VLOOKUP($B24,$C$177:$D$191,2,0)</f>
        <v>2.8</v>
      </c>
      <c r="M24" s="190">
        <f>VLOOKUP($B24,$C$159:$D$173,2,0)</f>
        <v>2.5099999999999998</v>
      </c>
      <c r="N24" s="190">
        <f>VLOOKUP($B24,$C$140:$D$155,2,0)</f>
        <v>2.56</v>
      </c>
    </row>
    <row r="25" spans="1:14" ht="12.55" customHeight="1" x14ac:dyDescent="0.25">
      <c r="A25" s="154"/>
      <c r="B25" s="149" t="s">
        <v>74</v>
      </c>
      <c r="C25" s="189">
        <f>VLOOKUP($B25,$C$345:$D$359,2,0)</f>
        <v>1.7</v>
      </c>
      <c r="D25" s="189">
        <f>VLOOKUP($B25,$C$325:$D$339,2,0)</f>
        <v>1.3</v>
      </c>
      <c r="E25" s="189">
        <f>VLOOKUP($B25,$C$305:$D$319,2,0)</f>
        <v>1.85</v>
      </c>
      <c r="F25" s="189">
        <f>VLOOKUP($B25,$C$286:$D$300,2,0)</f>
        <v>1.19</v>
      </c>
      <c r="G25" s="189">
        <f>VLOOKUP($B25,$C$267:$D$281,2,0)</f>
        <v>1.17</v>
      </c>
      <c r="H25" s="189">
        <f>VLOOKUP($B25,$C$249:$D$263,2,0)</f>
        <v>1.2</v>
      </c>
      <c r="I25" s="189">
        <f>VLOOKUP($B25,$C$231:$D$245,2,0)</f>
        <v>1.7</v>
      </c>
      <c r="J25" s="189">
        <f>VLOOKUP($B25,$C$213:$D$227,2,0)</f>
        <v>1.73</v>
      </c>
      <c r="K25" s="189">
        <f>VLOOKUP($B25,$C$195:$D$209,2,0)</f>
        <v>2.19</v>
      </c>
      <c r="L25" s="189">
        <f>VLOOKUP($B25,$C$177:$D$191,2,0)</f>
        <v>2.27</v>
      </c>
      <c r="M25" s="189">
        <f>VLOOKUP($B25,$C$159:$D$173,2,0)</f>
        <v>2.4500000000000002</v>
      </c>
      <c r="N25" s="189">
        <f>VLOOKUP($B25,$C$140:$D$155,2,0)</f>
        <v>1.97</v>
      </c>
    </row>
    <row r="26" spans="1:14" ht="12.55" customHeight="1" x14ac:dyDescent="0.25">
      <c r="A26" s="154"/>
      <c r="B26" s="147" t="s">
        <v>322</v>
      </c>
      <c r="C26" s="190">
        <f>VLOOKUP($B26,$C$345:$D$359,2,0)</f>
        <v>0.78</v>
      </c>
      <c r="D26" s="190">
        <f>VLOOKUP($B26,$C$325:$D$339,2,0)</f>
        <v>0.69</v>
      </c>
      <c r="E26" s="190">
        <f>VLOOKUP($B26,$C$305:$D$319,2,0)</f>
        <v>1.1499999999999999</v>
      </c>
      <c r="F26" s="190">
        <f>VLOOKUP($B26,$C$286:$D$300,2,0)</f>
        <v>1.47</v>
      </c>
      <c r="G26" s="190">
        <f>VLOOKUP($B26,$C$267:$D$281,2,0)</f>
        <v>1.23</v>
      </c>
      <c r="H26" s="190">
        <f>VLOOKUP($B26,$C$249:$D$263,2,0)</f>
        <v>1.28</v>
      </c>
      <c r="I26" s="190">
        <f>VLOOKUP($B26,$C$231:$D$245,2,0)</f>
        <v>1.25</v>
      </c>
      <c r="J26" s="190">
        <f>VLOOKUP($B26,$C$213:$D$227,2,0)</f>
        <v>1.55</v>
      </c>
      <c r="K26" s="190">
        <f>VLOOKUP($B26,$C$195:$D$209,2,0)</f>
        <v>2.06</v>
      </c>
      <c r="L26" s="190">
        <f>VLOOKUP($B26,$C$177:$D$191,2,0)</f>
        <v>2.21</v>
      </c>
      <c r="M26" s="190">
        <f>VLOOKUP($B26,$C$159:$D$173,2,0)</f>
        <v>2.98</v>
      </c>
      <c r="N26" s="190">
        <f>VLOOKUP($B26,$C$140:$D$155,2,0)</f>
        <v>2.87</v>
      </c>
    </row>
    <row r="27" spans="1:14" ht="12.55" customHeight="1" x14ac:dyDescent="0.25">
      <c r="A27" s="154"/>
      <c r="B27" s="149" t="s">
        <v>323</v>
      </c>
      <c r="C27" s="189">
        <f>VLOOKUP($B27,$C$345:$D$359,2,0)</f>
        <v>0.41</v>
      </c>
      <c r="D27" s="189">
        <f>VLOOKUP($B27,$C$325:$D$339,2,0)</f>
        <v>0.3</v>
      </c>
      <c r="E27" s="189">
        <f>VLOOKUP($B27,$C$305:$D$319,2,0)</f>
        <v>0.9</v>
      </c>
      <c r="F27" s="189">
        <f>VLOOKUP($B27,$C$286:$D$300,2,0)</f>
        <v>1.24</v>
      </c>
      <c r="G27" s="189">
        <f>VLOOKUP($B27,$C$267:$D$281,2,0)</f>
        <v>1.82</v>
      </c>
      <c r="H27" s="189">
        <f>VLOOKUP($B27,$C$249:$D$263,2,0)</f>
        <v>1.28</v>
      </c>
      <c r="I27" s="189">
        <f>VLOOKUP($B27,$C$231:$D$245,2,0)</f>
        <v>1.57</v>
      </c>
      <c r="J27" s="189">
        <f>VLOOKUP($B27,$C$213:$D$227,2,0)</f>
        <v>1.73</v>
      </c>
      <c r="K27" s="189">
        <f>VLOOKUP($B27,$C$195:$D$209,2,0)</f>
        <v>1.81</v>
      </c>
      <c r="L27" s="189">
        <f>VLOOKUP($B27,$C$177:$D$191,2,0)</f>
        <v>2.0099999999999998</v>
      </c>
      <c r="M27" s="189">
        <f>VLOOKUP($B27,$C$159:$D$173,2,0)</f>
        <v>1.71</v>
      </c>
      <c r="N27" s="189">
        <f>VLOOKUP($B27,$C$140:$D$155,2,0)</f>
        <v>1.1599999999999999</v>
      </c>
    </row>
    <row r="28" spans="1:14" ht="12.55" customHeight="1" x14ac:dyDescent="0.25">
      <c r="A28" s="154"/>
      <c r="B28" s="147" t="s">
        <v>327</v>
      </c>
      <c r="C28" s="190" t="s">
        <v>321</v>
      </c>
      <c r="D28" s="190" t="s">
        <v>321</v>
      </c>
      <c r="E28" s="190" t="s">
        <v>321</v>
      </c>
      <c r="F28" s="190" t="s">
        <v>321</v>
      </c>
      <c r="G28" s="190" t="s">
        <v>321</v>
      </c>
      <c r="H28" s="190" t="s">
        <v>321</v>
      </c>
      <c r="I28" s="190">
        <f>VLOOKUP($B28,$C$231:$D$245,2,0)</f>
        <v>1.05</v>
      </c>
      <c r="J28" s="190">
        <f>VLOOKUP($B28,$C$213:$D$227,2,0)</f>
        <v>1.03</v>
      </c>
      <c r="K28" s="190">
        <f>VLOOKUP($B28,$C$195:$D$209,2,0)</f>
        <v>1.19</v>
      </c>
      <c r="L28" s="190">
        <f>VLOOKUP($B28,$C$177:$D$191,2,0)</f>
        <v>1.65</v>
      </c>
      <c r="M28" s="190">
        <f>VLOOKUP($B28,$C$159:$D$173,2,0)</f>
        <v>2.2400000000000002</v>
      </c>
      <c r="N28" s="190">
        <f>VLOOKUP($B28,$C$140:$D$155,2,0)</f>
        <v>1.79</v>
      </c>
    </row>
    <row r="29" spans="1:14" ht="12.55" customHeight="1" x14ac:dyDescent="0.25">
      <c r="A29" s="154"/>
      <c r="B29" s="149" t="s">
        <v>127</v>
      </c>
      <c r="C29" s="189" t="s">
        <v>321</v>
      </c>
      <c r="D29" s="189">
        <f>VLOOKUP($B29,$C$325:$D$339,2,0)</f>
        <v>0.48</v>
      </c>
      <c r="E29" s="189">
        <f>VLOOKUP($B29,$C$305:$D$319,2,0)</f>
        <v>1.43</v>
      </c>
      <c r="F29" s="189">
        <f>VLOOKUP($B29,$C$286:$D$300,2,0)</f>
        <v>0.59</v>
      </c>
      <c r="G29" s="189">
        <f>VLOOKUP($B29,$C$267:$D$281,2,0)</f>
        <v>0.68</v>
      </c>
      <c r="H29" s="189">
        <f>VLOOKUP($B29,$C$249:$D$263,2,0)</f>
        <v>0.94</v>
      </c>
      <c r="I29" s="189">
        <f>VLOOKUP($B29,$C$231:$D$245,2,0)</f>
        <v>0.94</v>
      </c>
      <c r="J29" s="189">
        <f>VLOOKUP($B29,$C$213:$D$227,2,0)</f>
        <v>0.73</v>
      </c>
      <c r="K29" s="189">
        <f>VLOOKUP($B29,$C$195:$D$209,2,0)</f>
        <v>1.33</v>
      </c>
      <c r="L29" s="189">
        <f>VLOOKUP($B29,$C$177:$D$191,2,0)</f>
        <v>1.08</v>
      </c>
      <c r="M29" s="189">
        <f>VLOOKUP($B29,$C$159:$D$173,2,0)</f>
        <v>2.41</v>
      </c>
      <c r="N29" s="189">
        <f>VLOOKUP($B29,$C$140:$D$155,2,0)</f>
        <v>3.07</v>
      </c>
    </row>
    <row r="30" spans="1:14" ht="12.55" customHeight="1" x14ac:dyDescent="0.25">
      <c r="B30" s="188" t="s">
        <v>328</v>
      </c>
      <c r="C30" s="190" t="s">
        <v>321</v>
      </c>
      <c r="D30" s="190">
        <f>VLOOKUP($B30,$C$325:$D$339,2,0)</f>
        <v>0.6</v>
      </c>
      <c r="E30" s="190">
        <f>VLOOKUP($B30,$C$305:$D$319,2,0)</f>
        <v>0.77</v>
      </c>
      <c r="F30" s="190">
        <f>VLOOKUP($B30,$C$286:$D$300,2,0)</f>
        <v>0.43</v>
      </c>
      <c r="G30" s="190">
        <f>VLOOKUP($B30,$C$267:$D$281,2,0)</f>
        <v>0.34</v>
      </c>
      <c r="H30" s="190">
        <f>VLOOKUP($B30,$C$249:$D$263,2,0)</f>
        <v>1.08</v>
      </c>
      <c r="I30" s="190">
        <f>VLOOKUP($B30,$C$231:$D$245,2,0)</f>
        <v>0.48</v>
      </c>
      <c r="J30" s="190">
        <f>VLOOKUP($B30,$C$213:$D$227,2,0)</f>
        <v>0.43</v>
      </c>
      <c r="K30" s="190">
        <f>VLOOKUP($B30,$C$195:$D$209,2,0)</f>
        <v>0.56000000000000005</v>
      </c>
      <c r="L30" s="190" t="s">
        <v>321</v>
      </c>
      <c r="M30" s="190">
        <f>VLOOKUP($B30,$C$159:$D$173,2,0)</f>
        <v>0.56000000000000005</v>
      </c>
      <c r="N30" s="190">
        <f>VLOOKUP($B30,$C$140:$D$155,2,0)</f>
        <v>0.69</v>
      </c>
    </row>
    <row r="31" spans="1:14" ht="12.55" customHeight="1" x14ac:dyDescent="0.25">
      <c r="B31" s="133" t="s">
        <v>329</v>
      </c>
      <c r="C31" s="189">
        <f>VLOOKUP($B31,$C$345:$D$359,2,0)</f>
        <v>0.31</v>
      </c>
      <c r="D31" s="189">
        <f>VLOOKUP($B31,$C$325:$D$339,2,0)</f>
        <v>0.28999999999999998</v>
      </c>
      <c r="E31" s="189">
        <f>VLOOKUP($B31,$C$305:$D$319,2,0)</f>
        <v>0.46</v>
      </c>
      <c r="F31" s="189">
        <f>VLOOKUP($B31,$C$286:$D$300,2,0)</f>
        <v>0.46</v>
      </c>
      <c r="G31" s="189">
        <f>VLOOKUP($B31,$C$267:$D$281,2,0)</f>
        <v>0.44</v>
      </c>
      <c r="H31" s="189">
        <f>VLOOKUP($B31,$C$249:$D$263,2,0)</f>
        <v>0.25</v>
      </c>
      <c r="I31" s="189">
        <f>VLOOKUP($B31,$C$231:$D$245,2,0)</f>
        <v>0.26</v>
      </c>
      <c r="J31" s="189">
        <f>VLOOKUP($B31,$C$213:$D$227,2,0)</f>
        <v>0.28999999999999998</v>
      </c>
      <c r="K31" s="189">
        <f>VLOOKUP($B31,$C$195:$D$209,2,0)</f>
        <v>0.45</v>
      </c>
      <c r="L31" s="189">
        <f>VLOOKUP($B31,$C$177:$D$191,2,0)</f>
        <v>0.52</v>
      </c>
      <c r="M31" s="189" t="s">
        <v>321</v>
      </c>
      <c r="N31" s="189" t="s">
        <v>321</v>
      </c>
    </row>
    <row r="32" spans="1:14" ht="12.55" customHeight="1" x14ac:dyDescent="0.25">
      <c r="A32" s="154"/>
      <c r="B32" s="151"/>
      <c r="C32" s="156"/>
      <c r="D32" s="156"/>
      <c r="E32" s="156"/>
      <c r="F32" s="156"/>
      <c r="G32" s="156"/>
      <c r="H32" s="156"/>
      <c r="I32" s="156"/>
      <c r="J32" s="156"/>
      <c r="K32" s="156"/>
      <c r="L32" s="156"/>
      <c r="M32" s="156"/>
      <c r="N32" s="156"/>
    </row>
    <row r="33" spans="1:41" ht="12.55" customHeight="1" x14ac:dyDescent="0.25">
      <c r="A33" s="154"/>
      <c r="B33" s="124">
        <v>2024</v>
      </c>
      <c r="C33" s="124" t="s">
        <v>693</v>
      </c>
      <c r="D33" s="124" t="s">
        <v>694</v>
      </c>
      <c r="E33" s="124" t="s">
        <v>695</v>
      </c>
      <c r="F33" s="124" t="s">
        <v>696</v>
      </c>
      <c r="G33" s="124" t="s">
        <v>697</v>
      </c>
      <c r="H33" s="124" t="s">
        <v>698</v>
      </c>
      <c r="I33" s="124" t="s">
        <v>699</v>
      </c>
      <c r="J33" s="124" t="s">
        <v>700</v>
      </c>
      <c r="K33" s="124" t="s">
        <v>701</v>
      </c>
      <c r="L33" s="124" t="s">
        <v>702</v>
      </c>
      <c r="M33" s="124" t="s">
        <v>703</v>
      </c>
      <c r="N33" s="124" t="s">
        <v>704</v>
      </c>
    </row>
    <row r="34" spans="1:41" ht="12.55" customHeight="1" x14ac:dyDescent="0.25">
      <c r="A34" s="154"/>
      <c r="B34" s="149" t="s">
        <v>68</v>
      </c>
      <c r="C34" s="189">
        <f>VLOOKUP($B34,$C$585:$D$599,2,0)</f>
        <v>15.96</v>
      </c>
      <c r="D34" s="189">
        <f>VLOOKUP($B34,$C$565:$D$579,2,0)</f>
        <v>9.82</v>
      </c>
      <c r="E34" s="189">
        <f>VLOOKUP($B34,$C$545:$D$559,2,0)</f>
        <v>15.54</v>
      </c>
      <c r="F34" s="189">
        <f>VLOOKUP($B34,$C$525:$D$539,2,0)</f>
        <v>15.65</v>
      </c>
      <c r="G34" s="189">
        <f>VLOOKUP($B34,$C$505:$D$519,2,0)</f>
        <v>17.29</v>
      </c>
      <c r="H34" s="189">
        <f>VLOOKUP($B34,$C$485:$D$499,2,0)</f>
        <v>19.05</v>
      </c>
      <c r="I34" s="189">
        <f>VLOOKUP($B34,$C$465:$D$479,2,0)</f>
        <v>19.420000000000002</v>
      </c>
      <c r="J34" s="189">
        <f>VLOOKUP($B34,$C$445:$D$459,2,0)</f>
        <v>20.98</v>
      </c>
      <c r="K34" s="189">
        <f>VLOOKUP($B34,$C$425:$D$439,2,0)</f>
        <v>23.99</v>
      </c>
      <c r="L34" s="189">
        <f>VLOOKUP($B34,$C$405:$D$419,2,0)</f>
        <v>25.32</v>
      </c>
      <c r="M34" s="189">
        <f>VLOOKUP($B34,$C$385:$D$399,2,0)</f>
        <v>28.7</v>
      </c>
      <c r="N34" s="189">
        <f>VLOOKUP($B34,$C$365:$D$379,2,0)</f>
        <v>34.29</v>
      </c>
    </row>
    <row r="35" spans="1:41" ht="12.55" customHeight="1" x14ac:dyDescent="0.25">
      <c r="A35" s="154"/>
      <c r="B35" s="147" t="s">
        <v>69</v>
      </c>
      <c r="C35" s="190">
        <f>VLOOKUP(B35,$C$585:$D$599,2,0)</f>
        <v>6</v>
      </c>
      <c r="D35" s="190">
        <f>VLOOKUP($B35,$C$565:$D$579,2,0)</f>
        <v>3.16</v>
      </c>
      <c r="E35" s="190">
        <f>VLOOKUP($B35,$C$545:$D$559,2,0)</f>
        <v>9.2799999999999994</v>
      </c>
      <c r="F35" s="190">
        <f>VLOOKUP($B35,$C$525:$D$539,2,0)</f>
        <v>9.9499999999999993</v>
      </c>
      <c r="G35" s="190">
        <f>VLOOKUP($B35,$C$505:$D$519,2,0)</f>
        <v>11.42</v>
      </c>
      <c r="H35" s="190">
        <f>VLOOKUP($B35,$C$485:$D$499,2,0)</f>
        <v>10.7</v>
      </c>
      <c r="I35" s="190">
        <f>VLOOKUP($B35,$C$465:$D$479,2,0)</f>
        <v>9.3699999999999992</v>
      </c>
      <c r="J35" s="190">
        <f>VLOOKUP($B35,$C$445:$D$459,2,0)</f>
        <v>11.78</v>
      </c>
      <c r="K35" s="190">
        <f>VLOOKUP($B35,$C$425:$D$439,2,0)</f>
        <v>13.18</v>
      </c>
      <c r="L35" s="190">
        <f>VLOOKUP($B35,$C$405:$D$419,2,0)</f>
        <v>15.82</v>
      </c>
      <c r="M35" s="190">
        <f>VLOOKUP($B35,$C$385:$D$399,2,0)</f>
        <v>16.87</v>
      </c>
      <c r="N35" s="190">
        <f>VLOOKUP($B35,$C$365:$D$379,2,0)</f>
        <v>17.489999999999998</v>
      </c>
    </row>
    <row r="36" spans="1:41" ht="12.55" customHeight="1" x14ac:dyDescent="0.25">
      <c r="A36" s="154"/>
      <c r="B36" s="149" t="s">
        <v>71</v>
      </c>
      <c r="C36" s="189">
        <f>VLOOKUP(B36,$C$585:$D$599,2,0)</f>
        <v>1.75</v>
      </c>
      <c r="D36" s="189">
        <f>VLOOKUP($B36,$C$565:$D$579,2,0)</f>
        <v>1.1399999999999999</v>
      </c>
      <c r="E36" s="189">
        <f>VLOOKUP($B36,$C$545:$D$559,2,0)</f>
        <v>2.31</v>
      </c>
      <c r="F36" s="189">
        <f>VLOOKUP($B36,$C$525:$D$539,2,0)</f>
        <v>2.54</v>
      </c>
      <c r="G36" s="189">
        <f>VLOOKUP($B36,$C$505:$D$519,2,0)</f>
        <v>3</v>
      </c>
      <c r="H36" s="189">
        <f>VLOOKUP($B36,$C$485:$D$499,2,0)</f>
        <v>3.1</v>
      </c>
      <c r="I36" s="189">
        <f>VLOOKUP($B36,$C$465:$D$479,2,0)</f>
        <v>2.94</v>
      </c>
      <c r="J36" s="189">
        <f>VLOOKUP($B36,$C$445:$D$459,2,0)</f>
        <v>3.47</v>
      </c>
      <c r="K36" s="189">
        <f>VLOOKUP($B36,$C$425:$D$439,2,0)</f>
        <v>3.65</v>
      </c>
      <c r="L36" s="189">
        <f>VLOOKUP($B36,$C$405:$D$419,2,0)</f>
        <v>3.91</v>
      </c>
      <c r="M36" s="189">
        <f>VLOOKUP($B36,$C$385:$D$399,2,0)</f>
        <v>4.4800000000000004</v>
      </c>
      <c r="N36" s="189">
        <f>VLOOKUP($B36,$C$365:$D$379,2,0)</f>
        <v>4.2</v>
      </c>
    </row>
    <row r="37" spans="1:41" ht="12.55" customHeight="1" x14ac:dyDescent="0.25">
      <c r="A37" s="154"/>
      <c r="B37" s="147" t="s">
        <v>70</v>
      </c>
      <c r="C37" s="190">
        <f>VLOOKUP(B37,$C$585:$D$599,2,0)</f>
        <v>1.56</v>
      </c>
      <c r="D37" s="190">
        <f>VLOOKUP($B37,$C$565:$D$579,2,0)</f>
        <v>0.53</v>
      </c>
      <c r="E37" s="190">
        <f>VLOOKUP($B37,$C$545:$D$559,2,0)</f>
        <v>1.04</v>
      </c>
      <c r="F37" s="190">
        <f>VLOOKUP($B37,$C$525:$D$539,2,0)</f>
        <v>1.31</v>
      </c>
      <c r="G37" s="190">
        <f>VLOOKUP($B37,$C$505:$D$519,2,0)</f>
        <v>1.28</v>
      </c>
      <c r="H37" s="190">
        <f>VLOOKUP($B37,$C$485:$D$499,2,0)</f>
        <v>1.46</v>
      </c>
      <c r="I37" s="190">
        <f>VLOOKUP($B37,$C$465:$D$479,2,0)</f>
        <v>1.73</v>
      </c>
      <c r="J37" s="190">
        <f>VLOOKUP($B37,$C$445:$D$459,2,0)</f>
        <v>2.16</v>
      </c>
      <c r="K37" s="190">
        <f>VLOOKUP($B37,$C$425:$D$439,2,0)</f>
        <v>3.16</v>
      </c>
      <c r="L37" s="190">
        <f>VLOOKUP($B37,$C$405:$D$419,2,0)</f>
        <v>3.08</v>
      </c>
      <c r="M37" s="190">
        <f>VLOOKUP($B37,$C$385:$D$399,2,0)</f>
        <v>3.56</v>
      </c>
      <c r="N37" s="190">
        <f>VLOOKUP($B37,$C$365:$D$379,2,0)</f>
        <v>4.1900000000000004</v>
      </c>
    </row>
    <row r="38" spans="1:41" ht="12.55" customHeight="1" x14ac:dyDescent="0.25">
      <c r="A38" s="154"/>
      <c r="B38" s="149" t="s">
        <v>73</v>
      </c>
      <c r="C38" s="189">
        <f>VLOOKUP(B38,$C$585:$D$599,2,0)</f>
        <v>1.35</v>
      </c>
      <c r="D38" s="189">
        <f>VLOOKUP($B38,$C$565:$D$579,2,0)</f>
        <v>0.63</v>
      </c>
      <c r="E38" s="189">
        <f>VLOOKUP($B38,$C$545:$D$559,2,0)</f>
        <v>1.81</v>
      </c>
      <c r="F38" s="189">
        <f>VLOOKUP($B38,$C$525:$D$539,2,0)</f>
        <v>1.44</v>
      </c>
      <c r="G38" s="189">
        <f>VLOOKUP($B38,$C$505:$D$519,2,0)</f>
        <v>1.54</v>
      </c>
      <c r="H38" s="189">
        <f>VLOOKUP($B38,$C$485:$D$499,2,0)</f>
        <v>1.69</v>
      </c>
      <c r="I38" s="189">
        <f>VLOOKUP($B38,$C$465:$D$479,2,0)</f>
        <v>1.53</v>
      </c>
      <c r="J38" s="189">
        <f>VLOOKUP($B38,$C$445:$D$459,2,0)</f>
        <v>1.28</v>
      </c>
      <c r="K38" s="189">
        <f>VLOOKUP($B38,$C$425:$D$439,2,0)</f>
        <v>1.42</v>
      </c>
      <c r="L38" s="189">
        <f>VLOOKUP($B38,$C$405:$D$419,2,0)</f>
        <v>1.1200000000000001</v>
      </c>
      <c r="M38" s="189">
        <f>VLOOKUP($B38,$C$385:$D$399,2,0)</f>
        <v>2.0499999999999998</v>
      </c>
      <c r="N38" s="189">
        <f>VLOOKUP($B38,$C$365:$D$379,2,0)</f>
        <v>2.82</v>
      </c>
    </row>
    <row r="39" spans="1:41" ht="12.55" customHeight="1" x14ac:dyDescent="0.25">
      <c r="A39" s="154"/>
      <c r="B39" s="147" t="s">
        <v>129</v>
      </c>
      <c r="C39" s="190">
        <f>VLOOKUP(B39,$C$585:$D$599,2,0)</f>
        <v>0.94</v>
      </c>
      <c r="D39" s="190">
        <f>VLOOKUP($B39,$C$565:$D$579,2,0)</f>
        <v>0.57999999999999996</v>
      </c>
      <c r="E39" s="190">
        <f>VLOOKUP($B39,$C$545:$D$559,2,0)</f>
        <v>0.99</v>
      </c>
      <c r="F39" s="190">
        <f>VLOOKUP($B39,$C$525:$D$539,2,0)</f>
        <v>1</v>
      </c>
      <c r="G39" s="190">
        <f>VLOOKUP($B39,$C$505:$D$519,2,0)</f>
        <v>1.1499999999999999</v>
      </c>
      <c r="H39" s="190">
        <f>VLOOKUP($B39,$C$485:$D$499,2,0)</f>
        <v>1.3</v>
      </c>
      <c r="I39" s="190">
        <f>VLOOKUP($B39,$C$465:$D$479,2,0)</f>
        <v>1.35</v>
      </c>
      <c r="J39" s="190">
        <f>VLOOKUP($B39,$C$445:$D$459,2,0)</f>
        <v>1.58</v>
      </c>
      <c r="K39" s="190">
        <f>VLOOKUP($B39,$C$425:$D$439,2,0)</f>
        <v>1.75</v>
      </c>
      <c r="L39" s="190">
        <f>VLOOKUP($B39,$C$405:$D$419,2,0)</f>
        <v>1.69</v>
      </c>
      <c r="M39" s="190">
        <f>VLOOKUP($B39,$C$385:$D$399,2,0)</f>
        <v>1.78</v>
      </c>
      <c r="N39" s="190">
        <f>VLOOKUP($B39,$C$365:$D$379,2,0)</f>
        <v>1.7</v>
      </c>
    </row>
    <row r="40" spans="1:41" ht="12.55" customHeight="1" x14ac:dyDescent="0.25">
      <c r="A40" s="154"/>
      <c r="B40" s="149" t="s">
        <v>74</v>
      </c>
      <c r="C40" s="189">
        <f>VLOOKUP(B40,$C$585:$D$599,2,0)</f>
        <v>1.47</v>
      </c>
      <c r="D40" s="189">
        <f>VLOOKUP($B40,$C$565:$D$579,2,0)</f>
        <v>0.42</v>
      </c>
      <c r="E40" s="189">
        <f>VLOOKUP($B40,$C$545:$D$559,2,0)</f>
        <v>1.03</v>
      </c>
      <c r="F40" s="189">
        <f>VLOOKUP($B40,$C$525:$D$539,2,0)</f>
        <v>1.1000000000000001</v>
      </c>
      <c r="G40" s="189">
        <f>VLOOKUP($B40,$C$505:$D$519,2,0)</f>
        <v>0.96</v>
      </c>
      <c r="H40" s="189">
        <f>VLOOKUP($B40,$C$485:$D$499,2,0)</f>
        <v>1.17</v>
      </c>
      <c r="I40" s="189">
        <f>VLOOKUP($B40,$C$465:$D$479,2,0)</f>
        <v>1.28</v>
      </c>
      <c r="J40" s="189">
        <f>VLOOKUP($B40,$C$445:$D$459,2,0)</f>
        <v>1.26</v>
      </c>
      <c r="K40" s="189">
        <f>VLOOKUP($B40,$C$425:$D$439,2,0)</f>
        <v>1.29</v>
      </c>
      <c r="L40" s="189">
        <f>VLOOKUP($B40,$C$405:$D$419,2,0)</f>
        <v>1.9</v>
      </c>
      <c r="M40" s="189">
        <f>VLOOKUP($B40,$C$385:$D$399,2,0)</f>
        <v>2.34</v>
      </c>
      <c r="N40" s="189">
        <f>VLOOKUP($B40,$C$365:$D$379,2,0)</f>
        <v>3.15</v>
      </c>
    </row>
    <row r="41" spans="1:41" ht="12.55" customHeight="1" x14ac:dyDescent="0.25">
      <c r="A41" s="154"/>
      <c r="B41" s="147" t="s">
        <v>322</v>
      </c>
      <c r="C41" s="190">
        <f>VLOOKUP(B41,$C$585:$D$599,2,0)</f>
        <v>0.63</v>
      </c>
      <c r="D41" s="190">
        <f>VLOOKUP($B41,$C$565:$D$579,2,0)</f>
        <v>0.46</v>
      </c>
      <c r="E41" s="190">
        <f>VLOOKUP($B41,$C$545:$D$559,2,0)</f>
        <v>0.55000000000000004</v>
      </c>
      <c r="F41" s="190">
        <f>VLOOKUP($B41,$C$525:$D$539,2,0)</f>
        <v>0.37</v>
      </c>
      <c r="G41" s="190">
        <f>VLOOKUP($B41,$C$505:$D$519,2,0)</f>
        <v>0.6</v>
      </c>
      <c r="H41" s="190">
        <f>VLOOKUP($B41,$C$485:$D$499,2,0)</f>
        <v>1.1200000000000001</v>
      </c>
      <c r="I41" s="190">
        <f>VLOOKUP($B41,$C$465:$D$479,2,0)</f>
        <v>0.76</v>
      </c>
      <c r="J41" s="190">
        <f>VLOOKUP($B41,$C$445:$D$459,2,0)</f>
        <v>0.88</v>
      </c>
      <c r="K41" s="190">
        <f>VLOOKUP($B41,$C$425:$D$439,2,0)</f>
        <v>1.47</v>
      </c>
      <c r="L41" s="190">
        <f>VLOOKUP($B41,$C$405:$D$419,2,0)</f>
        <v>1.61</v>
      </c>
      <c r="M41" s="190">
        <f>VLOOKUP($B41,$C$385:$D$399,2,0)</f>
        <v>1.77</v>
      </c>
      <c r="N41" s="190">
        <f>VLOOKUP($B41,$C$365:$D$379,2,0)</f>
        <v>1.91</v>
      </c>
    </row>
    <row r="42" spans="1:41" ht="12.55" customHeight="1" x14ac:dyDescent="0.25">
      <c r="A42" s="154"/>
      <c r="B42" s="149" t="s">
        <v>323</v>
      </c>
      <c r="C42" s="189">
        <f>VLOOKUP(B42,$C$585:$D$599,2,0)</f>
        <v>0.4</v>
      </c>
      <c r="D42" s="189">
        <f>VLOOKUP($B42,$C$565:$D$579,2,0)</f>
        <v>0.18</v>
      </c>
      <c r="E42" s="189">
        <f>VLOOKUP($B42,$C$545:$D$559,2,0)</f>
        <v>0.44</v>
      </c>
      <c r="F42" s="189">
        <f>VLOOKUP($B42,$C$525:$D$539,2,0)</f>
        <v>0.44</v>
      </c>
      <c r="G42" s="189">
        <f>VLOOKUP($B42,$C$505:$D$519,2,0)</f>
        <v>0.87</v>
      </c>
      <c r="H42" s="189">
        <f>VLOOKUP($B42,$C$485:$D$499,2,0)</f>
        <v>0.91</v>
      </c>
      <c r="I42" s="189">
        <f>VLOOKUP($B42,$C$465:$D$479,2,0)</f>
        <v>0.79</v>
      </c>
      <c r="J42" s="189">
        <f>VLOOKUP($B42,$C$445:$D$459,2,0)</f>
        <v>0.96</v>
      </c>
      <c r="K42" s="189">
        <f>VLOOKUP($B42,$C$425:$D$439,2,0)</f>
        <v>1.24</v>
      </c>
      <c r="L42" s="189">
        <f>VLOOKUP($B42,$C$405:$D$419,2,0)</f>
        <v>1.34</v>
      </c>
      <c r="M42" s="189">
        <f>VLOOKUP($B42,$C$385:$D$399,2,0)</f>
        <v>1.22</v>
      </c>
      <c r="N42" s="189">
        <f>VLOOKUP($B42,$C$365:$D$379,2,0)</f>
        <v>1.06</v>
      </c>
    </row>
    <row r="43" spans="1:41" ht="12.55" customHeight="1" x14ac:dyDescent="0.25">
      <c r="A43" s="154"/>
      <c r="B43" s="147" t="s">
        <v>324</v>
      </c>
      <c r="C43" s="190" t="s">
        <v>321</v>
      </c>
      <c r="D43" s="190" t="s">
        <v>321</v>
      </c>
      <c r="E43" s="190" t="s">
        <v>321</v>
      </c>
      <c r="F43" s="190" t="s">
        <v>321</v>
      </c>
      <c r="G43" s="190" t="s">
        <v>321</v>
      </c>
      <c r="H43" s="190">
        <f>VLOOKUP($B43,$C$485:$D$499,2,0)</f>
        <v>0.08</v>
      </c>
      <c r="I43" s="190">
        <f>VLOOKUP($B43,$C$465:$D$479,2,0)</f>
        <v>0.21</v>
      </c>
      <c r="J43" s="190">
        <f>VLOOKUP($B43,$C$445:$D$459,2,0)</f>
        <v>0.25</v>
      </c>
      <c r="K43" s="190">
        <f>VLOOKUP($B43,$C$425:$D$439,2,0)</f>
        <v>0.28999999999999998</v>
      </c>
      <c r="L43" s="190">
        <f>VLOOKUP($B43,$C$405:$D$419,2,0)</f>
        <v>0.41</v>
      </c>
      <c r="M43" s="190">
        <f>VLOOKUP($B43,$C$385:$D$399,2,0)</f>
        <v>0.35</v>
      </c>
      <c r="N43" s="190">
        <f>VLOOKUP($B43,$C$365:$D$379,2,0)</f>
        <v>0.38</v>
      </c>
    </row>
    <row r="44" spans="1:41" ht="12.55" customHeight="1" x14ac:dyDescent="0.25">
      <c r="A44" s="154"/>
      <c r="B44" s="149" t="s">
        <v>127</v>
      </c>
      <c r="C44" s="189">
        <f>VLOOKUP(B44,$C$585:$D$599,2,0)</f>
        <v>0.86</v>
      </c>
      <c r="D44" s="189">
        <f>VLOOKUP($B44,$C$565:$D$579,2,0)</f>
        <v>0.36</v>
      </c>
      <c r="E44" s="189">
        <f>VLOOKUP($B44,$C$545:$D$559,2,0)</f>
        <v>0.45</v>
      </c>
      <c r="F44" s="189">
        <f>VLOOKUP($B44,$C$525:$D$539,2,0)</f>
        <v>0.39</v>
      </c>
      <c r="G44" s="189">
        <f>VLOOKUP($B44,$C$505:$D$519,2,0)</f>
        <v>0.34</v>
      </c>
      <c r="H44" s="189">
        <f>VLOOKUP($B44,$C$485:$D$499,2,0)</f>
        <v>0.56999999999999995</v>
      </c>
      <c r="I44" s="189">
        <f>VLOOKUP($B44,$C$465:$D$479,2,0)</f>
        <v>0.56000000000000005</v>
      </c>
      <c r="J44" s="189">
        <f>VLOOKUP($B44,$C$445:$D$459,2,0)</f>
        <v>0.99</v>
      </c>
      <c r="K44" s="189">
        <f>VLOOKUP($B44,$C$425:$D$439,2,0)</f>
        <v>0.89</v>
      </c>
      <c r="L44" s="189">
        <f>VLOOKUP($B44,$C$405:$D$419,2,0)</f>
        <v>0.42</v>
      </c>
      <c r="M44" s="189" t="s">
        <v>321</v>
      </c>
      <c r="N44" s="189" t="s">
        <v>321</v>
      </c>
    </row>
    <row r="45" spans="1:41" ht="12.55" customHeight="1" x14ac:dyDescent="0.25">
      <c r="A45" s="154"/>
      <c r="B45" s="147" t="s">
        <v>325</v>
      </c>
      <c r="C45" s="190" t="s">
        <v>321</v>
      </c>
      <c r="D45" s="190" t="s">
        <v>321</v>
      </c>
      <c r="E45" s="190" t="s">
        <v>321</v>
      </c>
      <c r="F45" s="190" t="s">
        <v>321</v>
      </c>
      <c r="G45" s="190">
        <f>VLOOKUP($B45,$C$505:$D$519,2,0)</f>
        <v>7.0000000000000007E-2</v>
      </c>
      <c r="H45" s="190">
        <f>VLOOKUP($B45,$C$485:$D$499,2,0)</f>
        <v>0.18</v>
      </c>
      <c r="I45" s="190" t="s">
        <v>321</v>
      </c>
      <c r="J45" s="190">
        <f>VLOOKUP($B45,$C$445:$D$459,2,0)</f>
        <v>0.11</v>
      </c>
      <c r="K45" s="190">
        <f>VLOOKUP($B45,$C$425:$D$439,2,0)</f>
        <v>0.27</v>
      </c>
      <c r="L45" s="190">
        <f>VLOOKUP($B45,$C$405:$D$419,2,0)</f>
        <v>0.4</v>
      </c>
      <c r="M45" s="190">
        <f>VLOOKUP($B45,$C$385:$D$399,2,0)</f>
        <v>0.56000000000000005</v>
      </c>
      <c r="N45" s="190">
        <f>VLOOKUP($B45,$C$365:$D$379,2,0)</f>
        <v>0.53</v>
      </c>
    </row>
    <row r="46" spans="1:41" ht="12.55" customHeight="1" x14ac:dyDescent="0.25">
      <c r="A46" s="154"/>
      <c r="B46" s="149" t="s">
        <v>326</v>
      </c>
      <c r="C46" s="189">
        <f>VLOOKUP(B46,$C$585:$D$599,2,0)</f>
        <v>0.21</v>
      </c>
      <c r="D46" s="189">
        <f>VLOOKUP($B46,$C$565:$D$579,2,0)</f>
        <v>0.1</v>
      </c>
      <c r="E46" s="189">
        <f>VLOOKUP($B46,$C$545:$D$559,2,0)</f>
        <v>0.09</v>
      </c>
      <c r="F46" s="189">
        <f>VLOOKUP($B46,$C$525:$D$539,2,0)</f>
        <v>7.0000000000000007E-2</v>
      </c>
      <c r="G46" s="189">
        <f>VLOOKUP($B46,$C$505:$D$519,2,0)</f>
        <v>0.16</v>
      </c>
      <c r="H46" s="189">
        <f>VLOOKUP($B46,$C$485:$D$499,2,0)</f>
        <v>0.21</v>
      </c>
      <c r="I46" s="189">
        <f>VLOOKUP($B46,$C$465:$D$479,2,0)</f>
        <v>0.17</v>
      </c>
      <c r="J46" s="189">
        <f>VLOOKUP($B46,$C$445:$D$459,2,0)</f>
        <v>0.25</v>
      </c>
      <c r="K46" s="189">
        <f>VLOOKUP($B46,$C$425:$D$439,2,0)</f>
        <v>0.41</v>
      </c>
      <c r="L46" s="189">
        <f>VLOOKUP($B46,$C$405:$D$419,2,0)</f>
        <v>0.49</v>
      </c>
      <c r="M46" s="189">
        <f>VLOOKUP($B46,$C$385:$D$399,2,0)</f>
        <v>0.45</v>
      </c>
      <c r="N46" s="189">
        <f>VLOOKUP($B46,$C$365:$D$379,2,0)</f>
        <v>0.46</v>
      </c>
    </row>
    <row r="47" spans="1:41" ht="12.55" customHeight="1" x14ac:dyDescent="0.25">
      <c r="A47" s="154"/>
      <c r="B47" s="151"/>
      <c r="C47" s="156"/>
      <c r="D47" s="156"/>
      <c r="E47" s="156"/>
      <c r="F47" s="156"/>
      <c r="G47" s="156"/>
      <c r="H47" s="156"/>
      <c r="I47" s="156"/>
      <c r="J47" s="156"/>
      <c r="K47" s="156"/>
      <c r="L47" s="156"/>
      <c r="M47" s="156"/>
      <c r="N47" s="156"/>
    </row>
    <row r="48" spans="1:41" ht="14" customHeight="1" x14ac:dyDescent="0.25">
      <c r="D48" s="43"/>
      <c r="K48" s="43"/>
      <c r="O48" s="15"/>
      <c r="P48" s="15"/>
      <c r="Q48" s="43"/>
      <c r="R48" s="15"/>
      <c r="S48" s="15"/>
      <c r="T48" s="15"/>
      <c r="U48" s="15"/>
      <c r="V48" s="43"/>
      <c r="W48" s="15"/>
      <c r="X48" s="15"/>
      <c r="Y48" s="15"/>
      <c r="Z48" s="15"/>
      <c r="AA48" s="43"/>
      <c r="AB48" s="15"/>
      <c r="AC48" s="44"/>
      <c r="AD48" s="15"/>
      <c r="AE48" s="15"/>
      <c r="AF48" s="15"/>
      <c r="AG48" s="43"/>
      <c r="AH48" s="15"/>
      <c r="AI48" s="44"/>
      <c r="AJ48" s="15"/>
      <c r="AK48" s="15"/>
      <c r="AL48" s="15"/>
      <c r="AM48" s="15"/>
      <c r="AN48" s="44"/>
      <c r="AO48" s="16"/>
    </row>
    <row r="49" spans="1:32" s="272" customFormat="1" ht="14" customHeight="1" x14ac:dyDescent="0.25">
      <c r="A49" s="269"/>
      <c r="B49" s="5" t="s">
        <v>1036</v>
      </c>
      <c r="C49" s="5"/>
      <c r="D49" s="270"/>
      <c r="E49" s="5"/>
      <c r="F49" s="5"/>
      <c r="G49" s="5"/>
      <c r="H49" s="5"/>
      <c r="I49" s="5" t="s">
        <v>1037</v>
      </c>
      <c r="J49" s="270"/>
      <c r="K49" s="5"/>
      <c r="L49" s="5"/>
      <c r="M49" s="5"/>
      <c r="N49" s="5"/>
      <c r="O49" s="271" t="s">
        <v>1038</v>
      </c>
      <c r="T49" s="271" t="s">
        <v>1039</v>
      </c>
      <c r="X49" s="273"/>
      <c r="Z49" s="274"/>
      <c r="AC49" s="273"/>
    </row>
    <row r="50" spans="1:32" s="272" customFormat="1" ht="14" customHeight="1" x14ac:dyDescent="0.25">
      <c r="A50" s="269"/>
      <c r="B50" s="5" t="s">
        <v>928</v>
      </c>
      <c r="C50" s="275" t="s">
        <v>929</v>
      </c>
      <c r="D50" s="276" t="s">
        <v>930</v>
      </c>
      <c r="E50" s="277" t="s">
        <v>927</v>
      </c>
      <c r="F50" s="275"/>
      <c r="G50" s="278"/>
      <c r="H50" s="5"/>
      <c r="I50" s="5" t="s">
        <v>928</v>
      </c>
      <c r="J50" s="275" t="s">
        <v>929</v>
      </c>
      <c r="K50" s="276" t="s">
        <v>930</v>
      </c>
      <c r="L50" s="277" t="s">
        <v>927</v>
      </c>
      <c r="M50" s="279"/>
      <c r="N50" s="5"/>
      <c r="O50" s="5" t="s">
        <v>928</v>
      </c>
      <c r="P50" s="5" t="s">
        <v>929</v>
      </c>
      <c r="Q50" s="5" t="s">
        <v>930</v>
      </c>
      <c r="R50" s="5" t="s">
        <v>927</v>
      </c>
      <c r="S50" s="275"/>
      <c r="T50" s="5" t="s">
        <v>928</v>
      </c>
      <c r="U50" s="5" t="s">
        <v>929</v>
      </c>
      <c r="V50" s="5" t="s">
        <v>930</v>
      </c>
      <c r="W50" s="5" t="s">
        <v>927</v>
      </c>
      <c r="X50" s="275"/>
      <c r="Z50" s="274"/>
      <c r="AA50" s="271"/>
      <c r="AB50" s="275"/>
      <c r="AC50" s="276"/>
      <c r="AD50" s="277"/>
      <c r="AE50" s="275"/>
      <c r="AF50" s="275"/>
    </row>
    <row r="51" spans="1:32" s="272" customFormat="1" ht="14" customHeight="1" x14ac:dyDescent="0.25">
      <c r="A51" s="269"/>
      <c r="B51" s="275">
        <v>1</v>
      </c>
      <c r="C51" s="280" t="s">
        <v>17</v>
      </c>
      <c r="D51" s="280">
        <v>33.08</v>
      </c>
      <c r="E51" s="277">
        <v>0.46139999999999998</v>
      </c>
      <c r="F51" s="277"/>
      <c r="G51" s="281"/>
      <c r="H51" s="5"/>
      <c r="I51" s="275">
        <v>1</v>
      </c>
      <c r="J51" s="275" t="s">
        <v>17</v>
      </c>
      <c r="K51" s="280">
        <v>121.66</v>
      </c>
      <c r="L51" s="282">
        <v>0.47020000000000001</v>
      </c>
      <c r="M51" s="275"/>
      <c r="N51" s="5"/>
      <c r="O51" s="5">
        <v>1</v>
      </c>
      <c r="P51" s="5" t="s">
        <v>17</v>
      </c>
      <c r="Q51" s="5">
        <v>23.12</v>
      </c>
      <c r="R51" s="277">
        <v>0.39660000000000001</v>
      </c>
      <c r="T51" s="5">
        <v>1</v>
      </c>
      <c r="U51" s="5" t="s">
        <v>1044</v>
      </c>
      <c r="V51" s="5">
        <v>9.9600000000000009</v>
      </c>
      <c r="W51" s="277">
        <v>0.74360000000000004</v>
      </c>
      <c r="Z51" s="274"/>
      <c r="AA51" s="275"/>
      <c r="AB51" s="275"/>
      <c r="AC51" s="280"/>
      <c r="AD51" s="277"/>
      <c r="AE51" s="277"/>
      <c r="AF51" s="283"/>
    </row>
    <row r="52" spans="1:32" s="272" customFormat="1" ht="14" customHeight="1" x14ac:dyDescent="0.25">
      <c r="A52" s="269"/>
      <c r="B52" s="275">
        <v>2</v>
      </c>
      <c r="C52" s="280" t="s">
        <v>15</v>
      </c>
      <c r="D52" s="276">
        <v>11.87</v>
      </c>
      <c r="E52" s="277">
        <v>0.1656</v>
      </c>
      <c r="F52" s="277"/>
      <c r="G52" s="281"/>
      <c r="H52" s="5"/>
      <c r="I52" s="275">
        <v>2</v>
      </c>
      <c r="J52" s="275" t="s">
        <v>15</v>
      </c>
      <c r="K52" s="276">
        <v>43.31</v>
      </c>
      <c r="L52" s="277">
        <v>0.16739999999999999</v>
      </c>
      <c r="M52" s="284"/>
      <c r="N52" s="5"/>
      <c r="O52" s="275">
        <v>2</v>
      </c>
      <c r="P52" s="275" t="s">
        <v>15</v>
      </c>
      <c r="Q52" s="276">
        <v>11.87</v>
      </c>
      <c r="R52" s="285">
        <v>0.20369999999999999</v>
      </c>
      <c r="T52" s="275">
        <v>2</v>
      </c>
      <c r="U52" s="285" t="s">
        <v>20</v>
      </c>
      <c r="V52" s="275">
        <v>1.54</v>
      </c>
      <c r="W52" s="277">
        <v>0.1147</v>
      </c>
      <c r="Z52" s="274"/>
      <c r="AA52" s="275"/>
      <c r="AB52" s="275"/>
      <c r="AC52" s="276"/>
      <c r="AD52" s="277"/>
      <c r="AE52" s="277"/>
      <c r="AF52" s="283"/>
    </row>
    <row r="53" spans="1:32" s="272" customFormat="1" ht="14" customHeight="1" x14ac:dyDescent="0.25">
      <c r="A53" s="269"/>
      <c r="B53" s="275">
        <v>3</v>
      </c>
      <c r="C53" s="280" t="s">
        <v>22</v>
      </c>
      <c r="D53" s="276">
        <v>4.4400000000000004</v>
      </c>
      <c r="E53" s="277">
        <v>6.1899999999999997E-2</v>
      </c>
      <c r="F53" s="277"/>
      <c r="G53" s="281"/>
      <c r="H53" s="5"/>
      <c r="I53" s="275">
        <v>3</v>
      </c>
      <c r="J53" s="275" t="s">
        <v>22</v>
      </c>
      <c r="K53" s="276">
        <v>15.79</v>
      </c>
      <c r="L53" s="277">
        <v>6.0999999999999999E-2</v>
      </c>
      <c r="M53" s="284"/>
      <c r="N53" s="5"/>
      <c r="O53" s="275">
        <v>3</v>
      </c>
      <c r="P53" s="286" t="s">
        <v>1043</v>
      </c>
      <c r="Q53" s="287">
        <v>4.43</v>
      </c>
      <c r="R53" s="282">
        <v>7.5999999999999998E-2</v>
      </c>
      <c r="T53" s="275">
        <v>3</v>
      </c>
      <c r="U53" s="285" t="s">
        <v>35</v>
      </c>
      <c r="V53" s="275">
        <v>1.01</v>
      </c>
      <c r="W53" s="288">
        <v>7.5499999999999998E-2</v>
      </c>
      <c r="Z53" s="274"/>
      <c r="AA53" s="275"/>
      <c r="AB53" s="275"/>
      <c r="AC53" s="276"/>
      <c r="AD53" s="277"/>
      <c r="AE53" s="277"/>
      <c r="AF53" s="283"/>
    </row>
    <row r="54" spans="1:32" s="272" customFormat="1" ht="14" customHeight="1" x14ac:dyDescent="0.25">
      <c r="A54" s="269"/>
      <c r="B54" s="275">
        <v>4</v>
      </c>
      <c r="C54" s="280" t="s">
        <v>21</v>
      </c>
      <c r="D54" s="276">
        <v>4.3</v>
      </c>
      <c r="E54" s="277">
        <v>5.9900000000000002E-2</v>
      </c>
      <c r="F54" s="277"/>
      <c r="G54" s="281"/>
      <c r="H54" s="5"/>
      <c r="I54" s="275">
        <v>4</v>
      </c>
      <c r="J54" s="275" t="s">
        <v>21</v>
      </c>
      <c r="K54" s="276">
        <v>15.51</v>
      </c>
      <c r="L54" s="277">
        <v>5.9900000000000002E-2</v>
      </c>
      <c r="M54" s="284"/>
      <c r="N54" s="5"/>
      <c r="O54" s="275">
        <v>4</v>
      </c>
      <c r="P54" s="286" t="s">
        <v>21</v>
      </c>
      <c r="Q54" s="289">
        <v>3.67</v>
      </c>
      <c r="R54" s="282">
        <v>6.2899999999999998E-2</v>
      </c>
      <c r="T54" s="275">
        <v>4</v>
      </c>
      <c r="U54" s="285" t="s">
        <v>21</v>
      </c>
      <c r="V54" s="275">
        <v>0.63</v>
      </c>
      <c r="W54" s="288">
        <v>4.7E-2</v>
      </c>
      <c r="Z54" s="274"/>
      <c r="AA54" s="275"/>
      <c r="AB54" s="275"/>
      <c r="AC54" s="276"/>
      <c r="AD54" s="277"/>
      <c r="AE54" s="277"/>
      <c r="AF54" s="283"/>
    </row>
    <row r="55" spans="1:32" s="272" customFormat="1" ht="14" customHeight="1" x14ac:dyDescent="0.25">
      <c r="A55" s="269"/>
      <c r="B55" s="275">
        <v>5</v>
      </c>
      <c r="C55" s="280" t="s">
        <v>32</v>
      </c>
      <c r="D55" s="276">
        <v>3.23</v>
      </c>
      <c r="E55" s="277">
        <v>4.4999999999999998E-2</v>
      </c>
      <c r="F55" s="277"/>
      <c r="G55" s="281"/>
      <c r="H55" s="5"/>
      <c r="I55" s="275">
        <v>5</v>
      </c>
      <c r="J55" s="275" t="s">
        <v>32</v>
      </c>
      <c r="K55" s="276">
        <v>12.35</v>
      </c>
      <c r="L55" s="277">
        <v>4.7699999999999999E-2</v>
      </c>
      <c r="M55" s="284"/>
      <c r="N55" s="5"/>
      <c r="O55" s="275">
        <v>5</v>
      </c>
      <c r="P55" s="286" t="s">
        <v>32</v>
      </c>
      <c r="Q55" s="287">
        <v>3.16</v>
      </c>
      <c r="R55" s="282">
        <v>5.4199999999999998E-2</v>
      </c>
      <c r="T55" s="275">
        <v>5</v>
      </c>
      <c r="U55" s="275" t="s">
        <v>30</v>
      </c>
      <c r="V55" s="275">
        <v>0.11</v>
      </c>
      <c r="W55" s="288">
        <v>8.3999999999999995E-3</v>
      </c>
      <c r="Z55" s="274"/>
      <c r="AA55" s="275"/>
      <c r="AB55" s="275"/>
      <c r="AC55" s="276"/>
      <c r="AD55" s="277"/>
      <c r="AE55" s="277"/>
      <c r="AF55" s="283"/>
    </row>
    <row r="56" spans="1:32" s="272" customFormat="1" ht="14" customHeight="1" x14ac:dyDescent="0.25">
      <c r="A56" s="269"/>
      <c r="B56" s="275">
        <v>6</v>
      </c>
      <c r="C56" s="280" t="s">
        <v>54</v>
      </c>
      <c r="D56" s="276">
        <v>2.63</v>
      </c>
      <c r="E56" s="277">
        <v>3.6700000000000003E-2</v>
      </c>
      <c r="F56" s="277"/>
      <c r="G56" s="281"/>
      <c r="H56" s="5"/>
      <c r="I56" s="275">
        <v>6</v>
      </c>
      <c r="J56" s="275" t="s">
        <v>54</v>
      </c>
      <c r="K56" s="276">
        <v>8.41</v>
      </c>
      <c r="L56" s="277">
        <v>3.2500000000000001E-2</v>
      </c>
      <c r="M56" s="284"/>
      <c r="N56" s="5"/>
      <c r="O56" s="275">
        <v>6</v>
      </c>
      <c r="P56" s="286" t="s">
        <v>54</v>
      </c>
      <c r="Q56" s="289">
        <v>2.63</v>
      </c>
      <c r="R56" s="282">
        <v>4.5100000000000001E-2</v>
      </c>
      <c r="T56" s="275">
        <v>6</v>
      </c>
      <c r="U56" s="275" t="s">
        <v>32</v>
      </c>
      <c r="V56" s="275">
        <v>7.0000000000000007E-2</v>
      </c>
      <c r="W56" s="288">
        <v>5.1999999999999998E-3</v>
      </c>
      <c r="Z56" s="274"/>
      <c r="AD56" s="273"/>
      <c r="AF56" s="274"/>
    </row>
    <row r="57" spans="1:32" s="272" customFormat="1" ht="14" customHeight="1" x14ac:dyDescent="0.25">
      <c r="A57" s="269"/>
      <c r="B57" s="275">
        <v>7</v>
      </c>
      <c r="C57" s="280" t="s">
        <v>1040</v>
      </c>
      <c r="D57" s="276">
        <v>2.2999999999999998</v>
      </c>
      <c r="E57" s="277">
        <v>3.2099999999999997E-2</v>
      </c>
      <c r="F57" s="277"/>
      <c r="G57" s="281"/>
      <c r="H57" s="5"/>
      <c r="I57" s="275">
        <v>7</v>
      </c>
      <c r="J57" s="275" t="s">
        <v>30</v>
      </c>
      <c r="K57" s="276">
        <v>7.03</v>
      </c>
      <c r="L57" s="277">
        <v>2.7199999999999998E-2</v>
      </c>
      <c r="M57" s="284"/>
      <c r="N57" s="5"/>
      <c r="O57" s="275">
        <v>7</v>
      </c>
      <c r="P57" s="286" t="s">
        <v>1040</v>
      </c>
      <c r="Q57" s="289">
        <v>2.25</v>
      </c>
      <c r="R57" s="282">
        <v>3.85E-2</v>
      </c>
      <c r="S57" s="5"/>
      <c r="T57" s="275">
        <v>7</v>
      </c>
      <c r="U57" s="285" t="s">
        <v>56</v>
      </c>
      <c r="V57" s="275">
        <v>0.05</v>
      </c>
      <c r="W57" s="288">
        <v>3.8999999999999998E-3</v>
      </c>
      <c r="Z57" s="274"/>
      <c r="AD57" s="273"/>
      <c r="AF57" s="274"/>
    </row>
    <row r="58" spans="1:32" s="272" customFormat="1" ht="14" customHeight="1" x14ac:dyDescent="0.25">
      <c r="A58" s="269"/>
      <c r="B58" s="275">
        <v>8</v>
      </c>
      <c r="C58" s="5" t="s">
        <v>30</v>
      </c>
      <c r="D58" s="276">
        <v>2.21</v>
      </c>
      <c r="E58" s="277">
        <v>3.0800000000000001E-2</v>
      </c>
      <c r="F58" s="277"/>
      <c r="G58" s="281"/>
      <c r="H58" s="5"/>
      <c r="I58" s="275">
        <v>8</v>
      </c>
      <c r="J58" s="275" t="s">
        <v>1040</v>
      </c>
      <c r="K58" s="276">
        <v>6.98</v>
      </c>
      <c r="L58" s="277">
        <v>2.7E-2</v>
      </c>
      <c r="M58" s="284"/>
      <c r="N58" s="5"/>
      <c r="O58" s="275">
        <v>8</v>
      </c>
      <c r="P58" s="5" t="s">
        <v>30</v>
      </c>
      <c r="Q58" s="289">
        <v>2.1</v>
      </c>
      <c r="R58" s="282">
        <v>3.5900000000000001E-2</v>
      </c>
      <c r="S58" s="5"/>
      <c r="T58" s="275">
        <v>8</v>
      </c>
      <c r="U58" s="285" t="s">
        <v>1043</v>
      </c>
      <c r="V58" s="275">
        <v>0.01</v>
      </c>
      <c r="W58" s="288">
        <v>6.9999999999999999E-4</v>
      </c>
      <c r="Z58" s="274"/>
      <c r="AD58" s="273"/>
      <c r="AF58" s="274"/>
    </row>
    <row r="59" spans="1:32" s="272" customFormat="1" ht="14" customHeight="1" x14ac:dyDescent="0.25">
      <c r="A59" s="269"/>
      <c r="B59" s="275">
        <v>9</v>
      </c>
      <c r="C59" s="280" t="s">
        <v>785</v>
      </c>
      <c r="D59" s="276">
        <v>1.82</v>
      </c>
      <c r="E59" s="277">
        <v>2.53E-2</v>
      </c>
      <c r="F59" s="277"/>
      <c r="G59" s="281"/>
      <c r="H59" s="5"/>
      <c r="I59" s="275">
        <v>9</v>
      </c>
      <c r="J59" s="275" t="s">
        <v>785</v>
      </c>
      <c r="K59" s="276">
        <v>6.42</v>
      </c>
      <c r="L59" s="277">
        <v>2.4799999999999999E-2</v>
      </c>
      <c r="M59" s="284"/>
      <c r="N59" s="5"/>
      <c r="O59" s="275">
        <v>9</v>
      </c>
      <c r="P59" s="286" t="s">
        <v>785</v>
      </c>
      <c r="Q59" s="287">
        <v>1.82</v>
      </c>
      <c r="R59" s="282">
        <v>3.1099999999999999E-2</v>
      </c>
      <c r="S59" s="5"/>
      <c r="T59" s="275">
        <v>9</v>
      </c>
      <c r="U59" s="285" t="s">
        <v>895</v>
      </c>
      <c r="V59" s="290">
        <v>0.01</v>
      </c>
      <c r="W59" s="288">
        <v>5.0000000000000001E-4</v>
      </c>
      <c r="Z59" s="274"/>
      <c r="AD59" s="273"/>
      <c r="AF59" s="274"/>
    </row>
    <row r="60" spans="1:32" s="272" customFormat="1" ht="14" customHeight="1" x14ac:dyDescent="0.25">
      <c r="A60" s="269"/>
      <c r="B60" s="275">
        <v>10</v>
      </c>
      <c r="C60" s="280" t="s">
        <v>20</v>
      </c>
      <c r="D60" s="276">
        <v>1.54</v>
      </c>
      <c r="E60" s="277">
        <v>2.1399999999999999E-2</v>
      </c>
      <c r="F60" s="277"/>
      <c r="G60" s="281"/>
      <c r="H60" s="5"/>
      <c r="I60" s="275">
        <v>10</v>
      </c>
      <c r="J60" s="275" t="s">
        <v>1042</v>
      </c>
      <c r="K60" s="276">
        <v>5.52</v>
      </c>
      <c r="L60" s="277">
        <v>2.1299999999999999E-2</v>
      </c>
      <c r="M60" s="284"/>
      <c r="N60" s="5"/>
      <c r="O60" s="275">
        <v>10</v>
      </c>
      <c r="P60" s="286" t="s">
        <v>893</v>
      </c>
      <c r="Q60" s="287">
        <v>0.82</v>
      </c>
      <c r="R60" s="282">
        <v>1.4E-2</v>
      </c>
      <c r="S60" s="5"/>
      <c r="T60" s="275">
        <v>10</v>
      </c>
      <c r="U60" s="285" t="s">
        <v>26</v>
      </c>
      <c r="V60" s="275">
        <v>0.01</v>
      </c>
      <c r="W60" s="288">
        <v>4.0000000000000002E-4</v>
      </c>
      <c r="Z60" s="274"/>
      <c r="AD60" s="273"/>
      <c r="AF60" s="274"/>
    </row>
    <row r="61" spans="1:32" s="272" customFormat="1" ht="14" customHeight="1" x14ac:dyDescent="0.25">
      <c r="A61" s="269"/>
      <c r="B61" s="275">
        <v>11</v>
      </c>
      <c r="C61" s="280" t="s">
        <v>35</v>
      </c>
      <c r="D61" s="276">
        <v>1.29</v>
      </c>
      <c r="E61" s="277">
        <v>1.7999999999999999E-2</v>
      </c>
      <c r="F61" s="277"/>
      <c r="G61" s="281"/>
      <c r="H61" s="5"/>
      <c r="I61" s="275">
        <v>11</v>
      </c>
      <c r="J61" s="5" t="s">
        <v>35</v>
      </c>
      <c r="K61" s="276">
        <v>4.8600000000000003</v>
      </c>
      <c r="L61" s="277">
        <v>1.8800000000000001E-2</v>
      </c>
      <c r="M61" s="284"/>
      <c r="N61" s="291"/>
      <c r="O61" s="275">
        <v>11</v>
      </c>
      <c r="P61" s="5" t="s">
        <v>892</v>
      </c>
      <c r="Q61" s="287">
        <v>0.6</v>
      </c>
      <c r="R61" s="282">
        <v>1.03E-2</v>
      </c>
      <c r="S61" s="5"/>
      <c r="T61" s="275"/>
      <c r="U61" s="285"/>
      <c r="V61" s="275"/>
      <c r="W61" s="288"/>
      <c r="Z61" s="274"/>
      <c r="AD61" s="273"/>
      <c r="AF61" s="274"/>
    </row>
    <row r="62" spans="1:32" s="272" customFormat="1" ht="14" customHeight="1" x14ac:dyDescent="0.25">
      <c r="A62" s="269"/>
      <c r="B62" s="275">
        <v>12</v>
      </c>
      <c r="C62" s="280" t="s">
        <v>893</v>
      </c>
      <c r="D62" s="276">
        <v>0.82</v>
      </c>
      <c r="E62" s="277">
        <v>1.14E-2</v>
      </c>
      <c r="F62" s="277"/>
      <c r="G62" s="281"/>
      <c r="H62" s="5"/>
      <c r="I62" s="275">
        <v>12</v>
      </c>
      <c r="J62" s="275" t="s">
        <v>893</v>
      </c>
      <c r="K62" s="276">
        <v>3.25</v>
      </c>
      <c r="L62" s="277">
        <v>1.26E-2</v>
      </c>
      <c r="M62" s="284"/>
      <c r="N62" s="5"/>
      <c r="O62" s="275">
        <v>12</v>
      </c>
      <c r="P62" s="286" t="s">
        <v>1041</v>
      </c>
      <c r="Q62" s="287">
        <v>0.43</v>
      </c>
      <c r="R62" s="282">
        <v>7.4000000000000003E-3</v>
      </c>
      <c r="S62" s="5"/>
      <c r="T62" s="275"/>
      <c r="U62" s="285"/>
      <c r="V62" s="290"/>
      <c r="W62" s="288"/>
      <c r="Z62" s="274"/>
      <c r="AD62" s="273"/>
      <c r="AF62" s="274"/>
    </row>
    <row r="63" spans="1:32" s="272" customFormat="1" ht="14" customHeight="1" x14ac:dyDescent="0.25">
      <c r="A63" s="269"/>
      <c r="B63" s="275">
        <v>13</v>
      </c>
      <c r="C63" s="280" t="s">
        <v>892</v>
      </c>
      <c r="D63" s="276">
        <v>0.6</v>
      </c>
      <c r="E63" s="277">
        <v>8.3999999999999995E-3</v>
      </c>
      <c r="F63" s="277"/>
      <c r="G63" s="281"/>
      <c r="H63" s="5"/>
      <c r="I63" s="275">
        <v>13</v>
      </c>
      <c r="J63" s="275" t="s">
        <v>892</v>
      </c>
      <c r="K63" s="276">
        <v>1.92</v>
      </c>
      <c r="L63" s="277">
        <v>7.4000000000000003E-3</v>
      </c>
      <c r="M63" s="284"/>
      <c r="N63" s="5"/>
      <c r="O63" s="275">
        <v>13</v>
      </c>
      <c r="P63" s="286" t="s">
        <v>35</v>
      </c>
      <c r="Q63" s="289">
        <v>0.28000000000000003</v>
      </c>
      <c r="R63" s="282">
        <v>4.7999999999999996E-3</v>
      </c>
      <c r="S63" s="5"/>
      <c r="T63" s="275"/>
      <c r="U63" s="285"/>
      <c r="V63" s="290"/>
      <c r="W63" s="288"/>
      <c r="Z63" s="274"/>
      <c r="AD63" s="273"/>
      <c r="AF63" s="274"/>
    </row>
    <row r="64" spans="1:32" s="272" customFormat="1" ht="14" customHeight="1" x14ac:dyDescent="0.25">
      <c r="A64" s="269"/>
      <c r="B64" s="275">
        <v>14</v>
      </c>
      <c r="C64" s="280" t="s">
        <v>1041</v>
      </c>
      <c r="D64" s="276">
        <v>0.43</v>
      </c>
      <c r="E64" s="277">
        <v>6.0000000000000001E-3</v>
      </c>
      <c r="F64" s="284"/>
      <c r="G64" s="281"/>
      <c r="H64" s="5"/>
      <c r="I64" s="275">
        <v>14</v>
      </c>
      <c r="J64" s="275" t="s">
        <v>896</v>
      </c>
      <c r="K64" s="276">
        <v>1.3</v>
      </c>
      <c r="L64" s="277">
        <v>5.0000000000000001E-3</v>
      </c>
      <c r="M64" s="284"/>
      <c r="N64" s="5"/>
      <c r="O64" s="275">
        <v>14</v>
      </c>
      <c r="P64" s="286" t="s">
        <v>896</v>
      </c>
      <c r="Q64" s="287">
        <v>0.24</v>
      </c>
      <c r="R64" s="282">
        <v>4.1000000000000003E-3</v>
      </c>
      <c r="S64" s="5"/>
      <c r="T64" s="5"/>
      <c r="U64" s="275"/>
      <c r="V64" s="290"/>
      <c r="W64" s="288"/>
      <c r="Z64" s="274"/>
      <c r="AD64" s="273"/>
      <c r="AF64" s="274"/>
    </row>
    <row r="65" spans="1:32" s="272" customFormat="1" ht="14" customHeight="1" x14ac:dyDescent="0.25">
      <c r="A65" s="269"/>
      <c r="B65" s="275">
        <v>15</v>
      </c>
      <c r="C65" s="280" t="s">
        <v>896</v>
      </c>
      <c r="D65" s="50">
        <v>0.24</v>
      </c>
      <c r="E65" s="277">
        <v>3.3E-3</v>
      </c>
      <c r="F65" s="284"/>
      <c r="G65" s="281"/>
      <c r="H65" s="5"/>
      <c r="I65" s="275">
        <v>15</v>
      </c>
      <c r="J65" s="275" t="s">
        <v>895</v>
      </c>
      <c r="K65" s="276">
        <v>1.05</v>
      </c>
      <c r="L65" s="277">
        <v>4.1000000000000003E-3</v>
      </c>
      <c r="M65" s="284"/>
      <c r="N65" s="5"/>
      <c r="O65" s="275">
        <v>15</v>
      </c>
      <c r="P65" s="286" t="s">
        <v>921</v>
      </c>
      <c r="Q65" s="289">
        <v>0.22</v>
      </c>
      <c r="R65" s="282">
        <v>3.8E-3</v>
      </c>
      <c r="S65" s="5"/>
      <c r="T65" s="292"/>
      <c r="U65" s="275"/>
      <c r="V65" s="290"/>
      <c r="W65" s="288"/>
      <c r="X65" s="293"/>
      <c r="Z65" s="274"/>
      <c r="AD65" s="273"/>
      <c r="AF65" s="274"/>
    </row>
    <row r="66" spans="1:32" ht="14" customHeight="1" x14ac:dyDescent="0.25">
      <c r="B66" s="21"/>
      <c r="C66" s="21"/>
      <c r="D66" s="6"/>
      <c r="E66" s="16"/>
      <c r="F66" s="55"/>
      <c r="G66" s="17"/>
      <c r="J66" s="21"/>
      <c r="L66" s="16"/>
      <c r="O66" s="43"/>
      <c r="P66" s="21"/>
      <c r="Q66" s="62"/>
      <c r="R66" s="16"/>
      <c r="S66" s="15"/>
      <c r="T66" s="61"/>
      <c r="U66" s="216"/>
      <c r="V66" s="216"/>
      <c r="W66" s="216"/>
      <c r="X66" s="216"/>
      <c r="Z66" s="47"/>
      <c r="AD66" s="227"/>
      <c r="AF66" s="47"/>
    </row>
    <row r="67" spans="1:32" s="272" customFormat="1" ht="14" customHeight="1" x14ac:dyDescent="0.25">
      <c r="A67" s="269"/>
      <c r="B67" s="5" t="s">
        <v>967</v>
      </c>
      <c r="C67" s="5"/>
      <c r="D67" s="270"/>
      <c r="E67" s="5"/>
      <c r="F67" s="5"/>
      <c r="G67" s="5"/>
      <c r="H67" s="5"/>
      <c r="I67" s="5" t="s">
        <v>968</v>
      </c>
      <c r="J67" s="270"/>
      <c r="K67" s="5"/>
      <c r="L67" s="5"/>
      <c r="M67" s="5"/>
      <c r="N67" s="5"/>
      <c r="O67" s="271" t="s">
        <v>969</v>
      </c>
      <c r="T67" s="271" t="s">
        <v>970</v>
      </c>
      <c r="X67" s="273"/>
      <c r="Z67" s="274"/>
      <c r="AC67" s="273"/>
    </row>
    <row r="68" spans="1:32" s="272" customFormat="1" ht="14" customHeight="1" x14ac:dyDescent="0.25">
      <c r="A68" s="269"/>
      <c r="B68" s="5" t="s">
        <v>928</v>
      </c>
      <c r="C68" s="275" t="s">
        <v>929</v>
      </c>
      <c r="D68" s="276" t="s">
        <v>930</v>
      </c>
      <c r="E68" s="277" t="s">
        <v>927</v>
      </c>
      <c r="F68" s="275"/>
      <c r="G68" s="278"/>
      <c r="H68" s="5"/>
      <c r="I68" s="5" t="s">
        <v>928</v>
      </c>
      <c r="J68" s="275" t="s">
        <v>929</v>
      </c>
      <c r="K68" s="276" t="s">
        <v>930</v>
      </c>
      <c r="L68" s="277" t="s">
        <v>927</v>
      </c>
      <c r="M68" s="279"/>
      <c r="N68" s="5"/>
      <c r="O68" s="5" t="s">
        <v>928</v>
      </c>
      <c r="P68" s="5" t="s">
        <v>929</v>
      </c>
      <c r="Q68" s="5" t="s">
        <v>930</v>
      </c>
      <c r="R68" s="5" t="s">
        <v>927</v>
      </c>
      <c r="S68" s="275"/>
      <c r="T68" s="5" t="s">
        <v>928</v>
      </c>
      <c r="U68" s="5" t="s">
        <v>929</v>
      </c>
      <c r="V68" s="5" t="s">
        <v>930</v>
      </c>
      <c r="W68" s="5" t="s">
        <v>927</v>
      </c>
      <c r="X68" s="275"/>
      <c r="Z68" s="274"/>
      <c r="AA68" s="271"/>
      <c r="AB68" s="275"/>
      <c r="AC68" s="276"/>
      <c r="AD68" s="277"/>
      <c r="AE68" s="275"/>
      <c r="AF68" s="275"/>
    </row>
    <row r="69" spans="1:32" s="272" customFormat="1" ht="14" customHeight="1" x14ac:dyDescent="0.25">
      <c r="A69" s="269"/>
      <c r="B69" s="275">
        <v>1</v>
      </c>
      <c r="C69" s="280" t="s">
        <v>17</v>
      </c>
      <c r="D69" s="280">
        <v>29.06</v>
      </c>
      <c r="E69" s="277">
        <v>0.46639999999999998</v>
      </c>
      <c r="F69" s="277"/>
      <c r="G69" s="281"/>
      <c r="H69" s="5"/>
      <c r="I69" s="275">
        <v>1</v>
      </c>
      <c r="J69" s="275" t="s">
        <v>17</v>
      </c>
      <c r="K69" s="280">
        <v>88.59</v>
      </c>
      <c r="L69" s="282">
        <v>0.47360000000000002</v>
      </c>
      <c r="M69" s="275"/>
      <c r="N69" s="5"/>
      <c r="O69" s="5">
        <v>1</v>
      </c>
      <c r="P69" s="5" t="s">
        <v>17</v>
      </c>
      <c r="Q69" s="5">
        <v>19.53</v>
      </c>
      <c r="R69" s="277">
        <v>0.38479999999999998</v>
      </c>
      <c r="T69" s="5">
        <v>1</v>
      </c>
      <c r="U69" s="5" t="s">
        <v>979</v>
      </c>
      <c r="V69" s="5">
        <v>9.5299999999999994</v>
      </c>
      <c r="W69" s="277">
        <v>0.82520000000000004</v>
      </c>
      <c r="Z69" s="274"/>
      <c r="AA69" s="275"/>
      <c r="AB69" s="275"/>
      <c r="AC69" s="280"/>
      <c r="AD69" s="277"/>
      <c r="AE69" s="277"/>
      <c r="AF69" s="283"/>
    </row>
    <row r="70" spans="1:32" s="272" customFormat="1" ht="14" customHeight="1" x14ac:dyDescent="0.25">
      <c r="A70" s="269"/>
      <c r="B70" s="275">
        <v>2</v>
      </c>
      <c r="C70" s="280" t="s">
        <v>15</v>
      </c>
      <c r="D70" s="276">
        <v>10.49</v>
      </c>
      <c r="E70" s="277">
        <v>0.16830000000000001</v>
      </c>
      <c r="F70" s="277"/>
      <c r="G70" s="281"/>
      <c r="H70" s="5"/>
      <c r="I70" s="275">
        <v>2</v>
      </c>
      <c r="J70" s="275" t="s">
        <v>15</v>
      </c>
      <c r="K70" s="276">
        <v>31.44</v>
      </c>
      <c r="L70" s="277">
        <v>0.1681</v>
      </c>
      <c r="M70" s="284"/>
      <c r="N70" s="5"/>
      <c r="O70" s="275">
        <v>2</v>
      </c>
      <c r="P70" s="275" t="s">
        <v>15</v>
      </c>
      <c r="Q70" s="276">
        <v>10.49</v>
      </c>
      <c r="R70" s="285">
        <v>0.20660000000000001</v>
      </c>
      <c r="T70" s="275">
        <v>2</v>
      </c>
      <c r="U70" s="285" t="s">
        <v>980</v>
      </c>
      <c r="V70" s="275">
        <v>0.91</v>
      </c>
      <c r="W70" s="277">
        <v>7.8700000000000006E-2</v>
      </c>
      <c r="Z70" s="274"/>
      <c r="AA70" s="275"/>
      <c r="AB70" s="275"/>
      <c r="AC70" s="276"/>
      <c r="AD70" s="277"/>
      <c r="AE70" s="277"/>
      <c r="AF70" s="283"/>
    </row>
    <row r="71" spans="1:32" s="272" customFormat="1" ht="14" customHeight="1" x14ac:dyDescent="0.25">
      <c r="A71" s="269"/>
      <c r="B71" s="275">
        <v>3</v>
      </c>
      <c r="C71" s="280" t="s">
        <v>976</v>
      </c>
      <c r="D71" s="276">
        <v>4.05</v>
      </c>
      <c r="E71" s="277">
        <v>6.5000000000000002E-2</v>
      </c>
      <c r="F71" s="277"/>
      <c r="G71" s="281"/>
      <c r="H71" s="5"/>
      <c r="I71" s="275">
        <v>3</v>
      </c>
      <c r="J71" s="275" t="s">
        <v>976</v>
      </c>
      <c r="K71" s="276">
        <v>11.35</v>
      </c>
      <c r="L71" s="277">
        <v>6.0699999999999997E-2</v>
      </c>
      <c r="M71" s="284"/>
      <c r="N71" s="5"/>
      <c r="O71" s="275">
        <v>3</v>
      </c>
      <c r="P71" s="286" t="s">
        <v>971</v>
      </c>
      <c r="Q71" s="287">
        <v>4.03</v>
      </c>
      <c r="R71" s="282">
        <v>7.9500000000000001E-2</v>
      </c>
      <c r="T71" s="275">
        <v>3</v>
      </c>
      <c r="U71" s="285" t="s">
        <v>977</v>
      </c>
      <c r="V71" s="275">
        <v>0.57999999999999996</v>
      </c>
      <c r="W71" s="288">
        <v>5.04E-2</v>
      </c>
      <c r="Z71" s="274"/>
      <c r="AA71" s="275"/>
      <c r="AB71" s="275"/>
      <c r="AC71" s="276"/>
      <c r="AD71" s="277"/>
      <c r="AE71" s="277"/>
      <c r="AF71" s="283"/>
    </row>
    <row r="72" spans="1:32" s="272" customFormat="1" ht="14" customHeight="1" x14ac:dyDescent="0.25">
      <c r="A72" s="269"/>
      <c r="B72" s="275">
        <v>4</v>
      </c>
      <c r="C72" s="280" t="s">
        <v>21</v>
      </c>
      <c r="D72" s="276">
        <v>3.9</v>
      </c>
      <c r="E72" s="277">
        <v>6.2600000000000003E-2</v>
      </c>
      <c r="F72" s="277"/>
      <c r="G72" s="281"/>
      <c r="H72" s="5"/>
      <c r="I72" s="275">
        <v>4</v>
      </c>
      <c r="J72" s="275" t="s">
        <v>977</v>
      </c>
      <c r="K72" s="276">
        <v>11.21</v>
      </c>
      <c r="L72" s="277">
        <v>5.9900000000000002E-2</v>
      </c>
      <c r="M72" s="284"/>
      <c r="N72" s="5"/>
      <c r="O72" s="275">
        <v>4</v>
      </c>
      <c r="P72" s="286" t="s">
        <v>21</v>
      </c>
      <c r="Q72" s="289">
        <v>3.32</v>
      </c>
      <c r="R72" s="282">
        <v>6.5299999999999997E-2</v>
      </c>
      <c r="T72" s="275">
        <v>4</v>
      </c>
      <c r="U72" s="285" t="s">
        <v>978</v>
      </c>
      <c r="V72" s="275">
        <v>0.35</v>
      </c>
      <c r="W72" s="288">
        <v>3.0200000000000001E-2</v>
      </c>
      <c r="Z72" s="274"/>
      <c r="AA72" s="275"/>
      <c r="AB72" s="275"/>
      <c r="AC72" s="276"/>
      <c r="AD72" s="277"/>
      <c r="AE72" s="277"/>
      <c r="AF72" s="283"/>
    </row>
    <row r="73" spans="1:32" s="272" customFormat="1" ht="14" customHeight="1" x14ac:dyDescent="0.25">
      <c r="A73" s="269"/>
      <c r="B73" s="275">
        <v>5</v>
      </c>
      <c r="C73" s="280" t="s">
        <v>32</v>
      </c>
      <c r="D73" s="276">
        <v>3.11</v>
      </c>
      <c r="E73" s="277">
        <v>4.9799999999999997E-2</v>
      </c>
      <c r="F73" s="277"/>
      <c r="G73" s="281"/>
      <c r="H73" s="5"/>
      <c r="I73" s="275">
        <v>5</v>
      </c>
      <c r="J73" s="275" t="s">
        <v>32</v>
      </c>
      <c r="K73" s="276">
        <v>9.1199999999999992</v>
      </c>
      <c r="L73" s="277">
        <v>4.87E-2</v>
      </c>
      <c r="M73" s="284"/>
      <c r="N73" s="5"/>
      <c r="O73" s="275">
        <v>5</v>
      </c>
      <c r="P73" s="286" t="s">
        <v>32</v>
      </c>
      <c r="Q73" s="287">
        <v>3.02</v>
      </c>
      <c r="R73" s="282">
        <v>5.96E-2</v>
      </c>
      <c r="T73" s="275">
        <v>5</v>
      </c>
      <c r="U73" s="275" t="s">
        <v>981</v>
      </c>
      <c r="V73" s="275">
        <v>0.08</v>
      </c>
      <c r="W73" s="288">
        <v>7.0000000000000001E-3</v>
      </c>
      <c r="Z73" s="274"/>
      <c r="AA73" s="275"/>
      <c r="AB73" s="275"/>
      <c r="AC73" s="276"/>
      <c r="AD73" s="277"/>
      <c r="AE73" s="277"/>
      <c r="AF73" s="283"/>
    </row>
    <row r="74" spans="1:32" s="272" customFormat="1" ht="14" customHeight="1" x14ac:dyDescent="0.25">
      <c r="A74" s="269"/>
      <c r="B74" s="275">
        <v>6</v>
      </c>
      <c r="C74" s="280" t="s">
        <v>972</v>
      </c>
      <c r="D74" s="276">
        <v>2.14</v>
      </c>
      <c r="E74" s="277">
        <v>3.44E-2</v>
      </c>
      <c r="F74" s="277"/>
      <c r="G74" s="281"/>
      <c r="H74" s="5"/>
      <c r="I74" s="275">
        <v>6</v>
      </c>
      <c r="J74" s="275" t="s">
        <v>54</v>
      </c>
      <c r="K74" s="276">
        <v>5.78</v>
      </c>
      <c r="L74" s="277">
        <v>3.09E-2</v>
      </c>
      <c r="M74" s="284"/>
      <c r="N74" s="5"/>
      <c r="O74" s="275">
        <v>6</v>
      </c>
      <c r="P74" s="286" t="s">
        <v>54</v>
      </c>
      <c r="Q74" s="289">
        <v>2.14</v>
      </c>
      <c r="R74" s="282">
        <v>4.2200000000000001E-2</v>
      </c>
      <c r="T74" s="275">
        <v>6</v>
      </c>
      <c r="U74" s="275" t="s">
        <v>973</v>
      </c>
      <c r="V74" s="275">
        <v>0.05</v>
      </c>
      <c r="W74" s="288">
        <v>3.8999999999999998E-3</v>
      </c>
      <c r="Z74" s="274"/>
      <c r="AD74" s="273"/>
      <c r="AF74" s="274"/>
    </row>
    <row r="75" spans="1:32" s="272" customFormat="1" ht="14" customHeight="1" x14ac:dyDescent="0.25">
      <c r="A75" s="269"/>
      <c r="B75" s="275">
        <v>7</v>
      </c>
      <c r="C75" s="280" t="s">
        <v>973</v>
      </c>
      <c r="D75" s="276">
        <v>1.96</v>
      </c>
      <c r="E75" s="277">
        <v>3.15E-2</v>
      </c>
      <c r="F75" s="277"/>
      <c r="G75" s="281"/>
      <c r="H75" s="5"/>
      <c r="I75" s="275">
        <v>7</v>
      </c>
      <c r="J75" s="275" t="s">
        <v>975</v>
      </c>
      <c r="K75" s="276">
        <v>4.82</v>
      </c>
      <c r="L75" s="277">
        <v>2.58E-2</v>
      </c>
      <c r="M75" s="284"/>
      <c r="N75" s="5"/>
      <c r="O75" s="275">
        <v>7</v>
      </c>
      <c r="P75" s="286" t="s">
        <v>973</v>
      </c>
      <c r="Q75" s="289">
        <v>1.91</v>
      </c>
      <c r="R75" s="282">
        <v>3.7699999999999997E-2</v>
      </c>
      <c r="S75" s="5"/>
      <c r="T75" s="275">
        <v>7</v>
      </c>
      <c r="U75" s="285" t="s">
        <v>975</v>
      </c>
      <c r="V75" s="275">
        <v>0.03</v>
      </c>
      <c r="W75" s="288">
        <v>2.2000000000000001E-3</v>
      </c>
      <c r="Z75" s="274"/>
      <c r="AD75" s="273"/>
      <c r="AF75" s="274"/>
    </row>
    <row r="76" spans="1:32" s="272" customFormat="1" ht="14" customHeight="1" x14ac:dyDescent="0.25">
      <c r="A76" s="269"/>
      <c r="B76" s="275">
        <v>8</v>
      </c>
      <c r="C76" s="280" t="s">
        <v>974</v>
      </c>
      <c r="D76" s="276">
        <v>1.83</v>
      </c>
      <c r="E76" s="277">
        <v>2.93E-2</v>
      </c>
      <c r="F76" s="277"/>
      <c r="G76" s="281"/>
      <c r="H76" s="5"/>
      <c r="I76" s="275">
        <v>8</v>
      </c>
      <c r="J76" s="275" t="s">
        <v>973</v>
      </c>
      <c r="K76" s="276">
        <v>4.68</v>
      </c>
      <c r="L76" s="277">
        <v>2.5000000000000001E-2</v>
      </c>
      <c r="M76" s="284"/>
      <c r="N76" s="5"/>
      <c r="O76" s="275">
        <v>8</v>
      </c>
      <c r="P76" s="286" t="s">
        <v>785</v>
      </c>
      <c r="Q76" s="289">
        <v>1.83</v>
      </c>
      <c r="R76" s="282">
        <v>3.5999999999999997E-2</v>
      </c>
      <c r="S76" s="5"/>
      <c r="T76" s="275">
        <v>8</v>
      </c>
      <c r="U76" s="285" t="s">
        <v>976</v>
      </c>
      <c r="V76" s="275">
        <v>0.02</v>
      </c>
      <c r="W76" s="288">
        <v>1.6000000000000001E-3</v>
      </c>
      <c r="Z76" s="274"/>
      <c r="AD76" s="273"/>
      <c r="AF76" s="274"/>
    </row>
    <row r="77" spans="1:32" s="272" customFormat="1" ht="14" customHeight="1" x14ac:dyDescent="0.25">
      <c r="A77" s="269"/>
      <c r="B77" s="275">
        <v>9</v>
      </c>
      <c r="C77" s="280" t="s">
        <v>975</v>
      </c>
      <c r="D77" s="276">
        <v>1.49</v>
      </c>
      <c r="E77" s="277">
        <v>2.4E-2</v>
      </c>
      <c r="F77" s="277"/>
      <c r="G77" s="281"/>
      <c r="H77" s="5"/>
      <c r="I77" s="275">
        <v>9</v>
      </c>
      <c r="J77" s="275" t="s">
        <v>785</v>
      </c>
      <c r="K77" s="276">
        <v>4.5999999999999996</v>
      </c>
      <c r="L77" s="277">
        <v>2.46E-2</v>
      </c>
      <c r="M77" s="284"/>
      <c r="N77" s="5"/>
      <c r="O77" s="275">
        <v>9</v>
      </c>
      <c r="P77" s="286" t="s">
        <v>30</v>
      </c>
      <c r="Q77" s="287">
        <v>1.47</v>
      </c>
      <c r="R77" s="282">
        <v>2.9000000000000001E-2</v>
      </c>
      <c r="S77" s="5"/>
      <c r="T77" s="275">
        <v>9</v>
      </c>
      <c r="U77" s="285" t="s">
        <v>895</v>
      </c>
      <c r="V77" s="290">
        <v>0.01</v>
      </c>
      <c r="W77" s="288">
        <v>6.9999999999999999E-4</v>
      </c>
      <c r="Z77" s="274"/>
      <c r="AD77" s="273"/>
      <c r="AF77" s="274"/>
    </row>
    <row r="78" spans="1:32" s="272" customFormat="1" ht="14" customHeight="1" x14ac:dyDescent="0.25">
      <c r="A78" s="269"/>
      <c r="B78" s="275">
        <v>10</v>
      </c>
      <c r="C78" s="280" t="s">
        <v>35</v>
      </c>
      <c r="D78" s="276">
        <v>1.1399999999999999</v>
      </c>
      <c r="E78" s="277">
        <v>1.83E-2</v>
      </c>
      <c r="F78" s="277"/>
      <c r="G78" s="281"/>
      <c r="H78" s="5"/>
      <c r="I78" s="275">
        <v>10</v>
      </c>
      <c r="J78" s="275" t="s">
        <v>978</v>
      </c>
      <c r="K78" s="276">
        <v>3.98</v>
      </c>
      <c r="L78" s="277">
        <v>2.1299999999999999E-2</v>
      </c>
      <c r="M78" s="284"/>
      <c r="N78" s="5"/>
      <c r="O78" s="275">
        <v>10</v>
      </c>
      <c r="P78" s="5" t="s">
        <v>893</v>
      </c>
      <c r="Q78" s="287">
        <v>0.9</v>
      </c>
      <c r="R78" s="282">
        <v>1.77E-2</v>
      </c>
      <c r="S78" s="5"/>
      <c r="T78" s="275">
        <v>10</v>
      </c>
      <c r="U78" s="285" t="s">
        <v>931</v>
      </c>
      <c r="V78" s="275">
        <v>1E-3</v>
      </c>
      <c r="W78" s="288">
        <v>1E-4</v>
      </c>
      <c r="Z78" s="274"/>
      <c r="AD78" s="273"/>
      <c r="AF78" s="274"/>
    </row>
    <row r="79" spans="1:32" s="272" customFormat="1" ht="14" customHeight="1" x14ac:dyDescent="0.25">
      <c r="A79" s="269"/>
      <c r="B79" s="275">
        <v>11</v>
      </c>
      <c r="C79" s="280" t="s">
        <v>893</v>
      </c>
      <c r="D79" s="276">
        <v>0.9</v>
      </c>
      <c r="E79" s="277">
        <v>1.44E-2</v>
      </c>
      <c r="F79" s="277"/>
      <c r="G79" s="281"/>
      <c r="H79" s="5"/>
      <c r="I79" s="275">
        <v>11</v>
      </c>
      <c r="J79" s="275" t="s">
        <v>35</v>
      </c>
      <c r="K79" s="276">
        <v>3.57</v>
      </c>
      <c r="L79" s="277">
        <v>1.9099999999999999E-2</v>
      </c>
      <c r="M79" s="284"/>
      <c r="N79" s="291"/>
      <c r="O79" s="275">
        <v>11</v>
      </c>
      <c r="P79" s="5" t="s">
        <v>892</v>
      </c>
      <c r="Q79" s="287">
        <v>0.44</v>
      </c>
      <c r="R79" s="282">
        <v>8.6E-3</v>
      </c>
      <c r="S79" s="5"/>
      <c r="T79" s="275"/>
      <c r="U79" s="285"/>
      <c r="V79" s="275"/>
      <c r="W79" s="288"/>
      <c r="Z79" s="274"/>
      <c r="AD79" s="273"/>
      <c r="AF79" s="274"/>
    </row>
    <row r="80" spans="1:32" s="272" customFormat="1" ht="14" customHeight="1" x14ac:dyDescent="0.25">
      <c r="A80" s="269"/>
      <c r="B80" s="275">
        <v>12</v>
      </c>
      <c r="C80" s="280" t="s">
        <v>892</v>
      </c>
      <c r="D80" s="276">
        <v>0.44</v>
      </c>
      <c r="E80" s="277">
        <v>7.0000000000000001E-3</v>
      </c>
      <c r="F80" s="277"/>
      <c r="G80" s="281"/>
      <c r="H80" s="5"/>
      <c r="I80" s="275">
        <v>12</v>
      </c>
      <c r="J80" s="275" t="s">
        <v>893</v>
      </c>
      <c r="K80" s="276">
        <v>2.4300000000000002</v>
      </c>
      <c r="L80" s="277">
        <v>1.2999999999999999E-2</v>
      </c>
      <c r="M80" s="284"/>
      <c r="N80" s="5"/>
      <c r="O80" s="275">
        <v>12</v>
      </c>
      <c r="P80" s="286" t="s">
        <v>982</v>
      </c>
      <c r="Q80" s="287">
        <v>0.36</v>
      </c>
      <c r="R80" s="282">
        <v>7.1000000000000004E-3</v>
      </c>
      <c r="S80" s="5"/>
      <c r="T80" s="275"/>
      <c r="U80" s="285"/>
      <c r="V80" s="290"/>
      <c r="W80" s="288"/>
      <c r="Z80" s="274"/>
      <c r="AD80" s="273"/>
      <c r="AF80" s="274"/>
    </row>
    <row r="81" spans="1:32" s="272" customFormat="1" ht="14" customHeight="1" x14ac:dyDescent="0.25">
      <c r="A81" s="269"/>
      <c r="B81" s="275">
        <v>13</v>
      </c>
      <c r="C81" s="280" t="s">
        <v>896</v>
      </c>
      <c r="D81" s="276">
        <v>0.36</v>
      </c>
      <c r="E81" s="277">
        <v>5.7999999999999996E-3</v>
      </c>
      <c r="F81" s="277"/>
      <c r="G81" s="281"/>
      <c r="H81" s="5"/>
      <c r="I81" s="275">
        <v>13</v>
      </c>
      <c r="J81" s="275" t="s">
        <v>892</v>
      </c>
      <c r="K81" s="276">
        <v>1.32</v>
      </c>
      <c r="L81" s="277">
        <v>7.1000000000000004E-3</v>
      </c>
      <c r="M81" s="284"/>
      <c r="N81" s="5"/>
      <c r="O81" s="275">
        <v>13</v>
      </c>
      <c r="P81" s="286" t="s">
        <v>983</v>
      </c>
      <c r="Q81" s="289">
        <v>0.28000000000000003</v>
      </c>
      <c r="R81" s="282">
        <v>5.4999999999999997E-3</v>
      </c>
      <c r="S81" s="5"/>
      <c r="T81" s="275"/>
      <c r="U81" s="285"/>
      <c r="V81" s="290"/>
      <c r="W81" s="288"/>
      <c r="Z81" s="274"/>
      <c r="AD81" s="273"/>
      <c r="AF81" s="274"/>
    </row>
    <row r="82" spans="1:32" s="272" customFormat="1" ht="14" customHeight="1" x14ac:dyDescent="0.25">
      <c r="A82" s="269"/>
      <c r="B82" s="275">
        <v>14</v>
      </c>
      <c r="C82" s="280" t="s">
        <v>20</v>
      </c>
      <c r="D82" s="276">
        <v>0.35</v>
      </c>
      <c r="E82" s="277">
        <v>5.5999999999999999E-3</v>
      </c>
      <c r="F82" s="284"/>
      <c r="G82" s="281"/>
      <c r="H82" s="5"/>
      <c r="I82" s="275">
        <v>14</v>
      </c>
      <c r="J82" s="275" t="s">
        <v>896</v>
      </c>
      <c r="K82" s="276">
        <v>1.07</v>
      </c>
      <c r="L82" s="277">
        <v>5.7000000000000002E-3</v>
      </c>
      <c r="M82" s="284"/>
      <c r="N82" s="5"/>
      <c r="O82" s="275">
        <v>14</v>
      </c>
      <c r="P82" s="286" t="s">
        <v>980</v>
      </c>
      <c r="Q82" s="287">
        <v>0.23</v>
      </c>
      <c r="R82" s="282">
        <v>4.4999999999999997E-3</v>
      </c>
      <c r="S82" s="5"/>
      <c r="T82" s="5"/>
      <c r="U82" s="275"/>
      <c r="V82" s="290"/>
      <c r="W82" s="288"/>
      <c r="Z82" s="274"/>
      <c r="AD82" s="273"/>
      <c r="AF82" s="274"/>
    </row>
    <row r="83" spans="1:32" s="272" customFormat="1" ht="14" customHeight="1" x14ac:dyDescent="0.25">
      <c r="A83" s="269"/>
      <c r="B83" s="275">
        <v>15</v>
      </c>
      <c r="C83" s="280" t="s">
        <v>895</v>
      </c>
      <c r="D83" s="50">
        <v>0.28999999999999998</v>
      </c>
      <c r="E83" s="277">
        <v>4.5999999999999999E-3</v>
      </c>
      <c r="F83" s="284"/>
      <c r="G83" s="281"/>
      <c r="H83" s="5"/>
      <c r="I83" s="275">
        <v>15</v>
      </c>
      <c r="J83" s="275" t="s">
        <v>895</v>
      </c>
      <c r="K83" s="276">
        <v>0.82</v>
      </c>
      <c r="L83" s="277">
        <v>4.4000000000000003E-3</v>
      </c>
      <c r="M83" s="284"/>
      <c r="N83" s="5"/>
      <c r="O83" s="275">
        <v>15</v>
      </c>
      <c r="P83" s="286" t="s">
        <v>984</v>
      </c>
      <c r="Q83" s="289">
        <v>0.23</v>
      </c>
      <c r="R83" s="282">
        <v>4.4999999999999997E-3</v>
      </c>
      <c r="S83" s="5"/>
      <c r="T83" s="292"/>
      <c r="U83" s="275"/>
      <c r="V83" s="290"/>
      <c r="W83" s="288"/>
      <c r="X83" s="293"/>
      <c r="Z83" s="274"/>
      <c r="AD83" s="273"/>
      <c r="AF83" s="274"/>
    </row>
    <row r="84" spans="1:32" ht="14" customHeight="1" x14ac:dyDescent="0.25">
      <c r="B84" s="21"/>
      <c r="C84" s="21"/>
      <c r="D84" s="6"/>
      <c r="E84" s="16"/>
      <c r="F84" s="55"/>
      <c r="G84" s="17"/>
      <c r="J84" s="21"/>
      <c r="L84" s="16"/>
      <c r="O84" s="43"/>
      <c r="P84" s="21"/>
      <c r="Q84" s="62"/>
      <c r="R84" s="16"/>
      <c r="S84" s="15"/>
      <c r="T84" s="61"/>
      <c r="U84" s="216"/>
      <c r="V84" s="216"/>
      <c r="W84" s="216"/>
      <c r="X84" s="216"/>
      <c r="Z84" s="47"/>
      <c r="AD84" s="227"/>
      <c r="AF84" s="47"/>
    </row>
    <row r="85" spans="1:32" s="272" customFormat="1" ht="14" customHeight="1" x14ac:dyDescent="0.25">
      <c r="A85" s="269"/>
      <c r="B85" s="5" t="s">
        <v>944</v>
      </c>
      <c r="C85" s="5"/>
      <c r="D85" s="270"/>
      <c r="E85" s="5"/>
      <c r="F85" s="5"/>
      <c r="G85" s="5"/>
      <c r="H85" s="5"/>
      <c r="I85" s="5" t="s">
        <v>945</v>
      </c>
      <c r="J85" s="270"/>
      <c r="K85" s="5"/>
      <c r="L85" s="5"/>
      <c r="M85" s="5"/>
      <c r="N85" s="5"/>
      <c r="O85" s="271" t="s">
        <v>946</v>
      </c>
      <c r="T85" s="271" t="s">
        <v>947</v>
      </c>
      <c r="X85" s="273"/>
      <c r="Z85" s="274"/>
      <c r="AC85" s="273"/>
    </row>
    <row r="86" spans="1:32" s="272" customFormat="1" ht="14" customHeight="1" x14ac:dyDescent="0.25">
      <c r="A86" s="269"/>
      <c r="B86" s="5" t="s">
        <v>928</v>
      </c>
      <c r="C86" s="275" t="s">
        <v>929</v>
      </c>
      <c r="D86" s="276" t="s">
        <v>930</v>
      </c>
      <c r="E86" s="277" t="s">
        <v>927</v>
      </c>
      <c r="F86" s="275"/>
      <c r="G86" s="278"/>
      <c r="H86" s="5"/>
      <c r="I86" s="5" t="s">
        <v>928</v>
      </c>
      <c r="J86" s="275" t="s">
        <v>929</v>
      </c>
      <c r="K86" s="276" t="s">
        <v>930</v>
      </c>
      <c r="L86" s="277" t="s">
        <v>927</v>
      </c>
      <c r="M86" s="279"/>
      <c r="N86" s="5"/>
      <c r="O86" s="5" t="s">
        <v>928</v>
      </c>
      <c r="P86" s="5" t="s">
        <v>929</v>
      </c>
      <c r="Q86" s="5" t="s">
        <v>930</v>
      </c>
      <c r="R86" s="5" t="s">
        <v>927</v>
      </c>
      <c r="S86" s="275"/>
      <c r="T86" s="5" t="s">
        <v>928</v>
      </c>
      <c r="U86" s="5" t="s">
        <v>929</v>
      </c>
      <c r="V86" s="5" t="s">
        <v>930</v>
      </c>
      <c r="W86" s="5" t="s">
        <v>927</v>
      </c>
      <c r="X86" s="275"/>
      <c r="Z86" s="274"/>
      <c r="AA86" s="271"/>
      <c r="AB86" s="275"/>
      <c r="AC86" s="276"/>
      <c r="AD86" s="277"/>
      <c r="AE86" s="275"/>
      <c r="AF86" s="275"/>
    </row>
    <row r="87" spans="1:32" s="272" customFormat="1" ht="14" customHeight="1" x14ac:dyDescent="0.25">
      <c r="A87" s="269"/>
      <c r="B87" s="275">
        <v>1</v>
      </c>
      <c r="C87" s="280" t="s">
        <v>17</v>
      </c>
      <c r="D87" s="280">
        <v>25.71</v>
      </c>
      <c r="E87" s="277">
        <v>0.45540000000000003</v>
      </c>
      <c r="F87" s="277"/>
      <c r="G87" s="281"/>
      <c r="H87" s="5"/>
      <c r="I87" s="275">
        <v>1</v>
      </c>
      <c r="J87" s="275" t="s">
        <v>17</v>
      </c>
      <c r="K87" s="280">
        <v>59.53</v>
      </c>
      <c r="L87" s="282">
        <v>0.47720000000000001</v>
      </c>
      <c r="M87" s="275"/>
      <c r="N87" s="5"/>
      <c r="O87" s="5">
        <v>1</v>
      </c>
      <c r="P87" s="5" t="s">
        <v>17</v>
      </c>
      <c r="Q87" s="5">
        <v>18.11</v>
      </c>
      <c r="R87" s="277">
        <v>0.39600000000000002</v>
      </c>
      <c r="T87" s="5">
        <v>1</v>
      </c>
      <c r="U87" s="5" t="s">
        <v>17</v>
      </c>
      <c r="V87" s="5">
        <v>7.6</v>
      </c>
      <c r="W87" s="277">
        <v>0.70830000000000004</v>
      </c>
      <c r="Z87" s="274"/>
      <c r="AA87" s="275"/>
      <c r="AB87" s="275"/>
      <c r="AC87" s="280"/>
      <c r="AD87" s="277"/>
      <c r="AE87" s="277"/>
      <c r="AF87" s="283"/>
    </row>
    <row r="88" spans="1:32" s="272" customFormat="1" ht="14" customHeight="1" x14ac:dyDescent="0.25">
      <c r="A88" s="269"/>
      <c r="B88" s="275">
        <v>2</v>
      </c>
      <c r="C88" s="280" t="s">
        <v>15</v>
      </c>
      <c r="D88" s="276">
        <v>10.06</v>
      </c>
      <c r="E88" s="277">
        <v>0.17829999999999999</v>
      </c>
      <c r="F88" s="277"/>
      <c r="G88" s="281"/>
      <c r="H88" s="5"/>
      <c r="I88" s="275">
        <v>2</v>
      </c>
      <c r="J88" s="275" t="s">
        <v>15</v>
      </c>
      <c r="K88" s="276">
        <v>20.95</v>
      </c>
      <c r="L88" s="277">
        <v>0.16800000000000001</v>
      </c>
      <c r="M88" s="284"/>
      <c r="N88" s="5"/>
      <c r="O88" s="275">
        <v>2</v>
      </c>
      <c r="P88" s="275" t="s">
        <v>15</v>
      </c>
      <c r="Q88" s="276">
        <v>10.06</v>
      </c>
      <c r="R88" s="285">
        <v>0.22009999999999999</v>
      </c>
      <c r="T88" s="275">
        <v>2</v>
      </c>
      <c r="U88" s="285" t="s">
        <v>20</v>
      </c>
      <c r="V88" s="275">
        <v>1.92</v>
      </c>
      <c r="W88" s="286">
        <v>0.17860000000000001</v>
      </c>
      <c r="Z88" s="274"/>
      <c r="AA88" s="275"/>
      <c r="AB88" s="275"/>
      <c r="AC88" s="276"/>
      <c r="AD88" s="277"/>
      <c r="AE88" s="277"/>
      <c r="AF88" s="283"/>
    </row>
    <row r="89" spans="1:32" s="272" customFormat="1" ht="14" customHeight="1" x14ac:dyDescent="0.25">
      <c r="A89" s="269"/>
      <c r="B89" s="275">
        <v>3</v>
      </c>
      <c r="C89" s="280" t="s">
        <v>21</v>
      </c>
      <c r="D89" s="276">
        <v>3.52</v>
      </c>
      <c r="E89" s="277">
        <v>6.2300000000000001E-2</v>
      </c>
      <c r="F89" s="277"/>
      <c r="G89" s="281"/>
      <c r="H89" s="5"/>
      <c r="I89" s="275">
        <v>3</v>
      </c>
      <c r="J89" s="275" t="s">
        <v>21</v>
      </c>
      <c r="K89" s="276">
        <v>7.31</v>
      </c>
      <c r="L89" s="277">
        <v>5.8599999999999999E-2</v>
      </c>
      <c r="M89" s="284"/>
      <c r="N89" s="5"/>
      <c r="O89" s="275">
        <v>3</v>
      </c>
      <c r="P89" s="286" t="s">
        <v>951</v>
      </c>
      <c r="Q89" s="287">
        <v>3.35</v>
      </c>
      <c r="R89" s="282">
        <v>7.3300000000000004E-2</v>
      </c>
      <c r="T89" s="275">
        <v>3</v>
      </c>
      <c r="U89" s="285" t="s">
        <v>35</v>
      </c>
      <c r="V89" s="275">
        <v>0.72</v>
      </c>
      <c r="W89" s="288">
        <v>6.7299999999999999E-2</v>
      </c>
      <c r="Z89" s="274"/>
      <c r="AA89" s="275"/>
      <c r="AB89" s="275"/>
      <c r="AC89" s="276"/>
      <c r="AD89" s="277"/>
      <c r="AE89" s="277"/>
      <c r="AF89" s="283"/>
    </row>
    <row r="90" spans="1:32" s="272" customFormat="1" ht="14" customHeight="1" x14ac:dyDescent="0.25">
      <c r="A90" s="269"/>
      <c r="B90" s="275">
        <v>4</v>
      </c>
      <c r="C90" s="280" t="s">
        <v>22</v>
      </c>
      <c r="D90" s="276">
        <v>3.37</v>
      </c>
      <c r="E90" s="277">
        <v>5.9700000000000003E-2</v>
      </c>
      <c r="F90" s="277"/>
      <c r="G90" s="281"/>
      <c r="H90" s="5"/>
      <c r="I90" s="275">
        <v>4</v>
      </c>
      <c r="J90" s="275" t="s">
        <v>22</v>
      </c>
      <c r="K90" s="276">
        <v>7.3</v>
      </c>
      <c r="L90" s="277">
        <v>5.8500000000000003E-2</v>
      </c>
      <c r="M90" s="284"/>
      <c r="N90" s="5"/>
      <c r="O90" s="275">
        <v>4</v>
      </c>
      <c r="P90" s="286" t="s">
        <v>21</v>
      </c>
      <c r="Q90" s="289">
        <v>3.14</v>
      </c>
      <c r="R90" s="282">
        <v>6.88E-2</v>
      </c>
      <c r="T90" s="275">
        <v>4</v>
      </c>
      <c r="U90" s="285" t="s">
        <v>21</v>
      </c>
      <c r="V90" s="275">
        <v>0.37</v>
      </c>
      <c r="W90" s="288">
        <v>3.4700000000000002E-2</v>
      </c>
      <c r="Z90" s="274"/>
      <c r="AA90" s="275"/>
      <c r="AB90" s="275"/>
      <c r="AC90" s="276"/>
      <c r="AD90" s="277"/>
      <c r="AE90" s="277"/>
      <c r="AF90" s="283"/>
    </row>
    <row r="91" spans="1:32" s="272" customFormat="1" ht="14" customHeight="1" x14ac:dyDescent="0.25">
      <c r="A91" s="269"/>
      <c r="B91" s="275">
        <v>5</v>
      </c>
      <c r="C91" s="280" t="s">
        <v>32</v>
      </c>
      <c r="D91" s="276">
        <v>2.74</v>
      </c>
      <c r="E91" s="277">
        <v>4.8599999999999997E-2</v>
      </c>
      <c r="F91" s="277"/>
      <c r="G91" s="281"/>
      <c r="H91" s="5"/>
      <c r="I91" s="275">
        <v>5</v>
      </c>
      <c r="J91" s="275" t="s">
        <v>32</v>
      </c>
      <c r="K91" s="276">
        <v>6.01</v>
      </c>
      <c r="L91" s="277">
        <v>4.82E-2</v>
      </c>
      <c r="M91" s="284"/>
      <c r="N91" s="5"/>
      <c r="O91" s="275">
        <v>5</v>
      </c>
      <c r="P91" s="286" t="s">
        <v>32</v>
      </c>
      <c r="Q91" s="287">
        <v>2.7</v>
      </c>
      <c r="R91" s="282">
        <v>5.8999999999999997E-2</v>
      </c>
      <c r="T91" s="275">
        <v>5</v>
      </c>
      <c r="U91" s="275" t="s">
        <v>32</v>
      </c>
      <c r="V91" s="275">
        <v>0.05</v>
      </c>
      <c r="W91" s="288">
        <v>4.4000000000000003E-3</v>
      </c>
      <c r="Z91" s="274"/>
      <c r="AA91" s="275"/>
      <c r="AB91" s="275"/>
      <c r="AC91" s="276"/>
      <c r="AD91" s="277"/>
      <c r="AE91" s="277"/>
      <c r="AF91" s="283"/>
    </row>
    <row r="92" spans="1:32" s="272" customFormat="1" ht="14" customHeight="1" x14ac:dyDescent="0.25">
      <c r="A92" s="269"/>
      <c r="B92" s="275">
        <v>6</v>
      </c>
      <c r="C92" s="280" t="s">
        <v>20</v>
      </c>
      <c r="D92" s="276">
        <v>1.92</v>
      </c>
      <c r="E92" s="277">
        <v>3.4000000000000002E-2</v>
      </c>
      <c r="F92" s="277"/>
      <c r="G92" s="281"/>
      <c r="H92" s="5"/>
      <c r="I92" s="275">
        <v>6</v>
      </c>
      <c r="J92" s="275" t="s">
        <v>953</v>
      </c>
      <c r="K92" s="276">
        <v>3.64</v>
      </c>
      <c r="L92" s="277">
        <v>2.92E-2</v>
      </c>
      <c r="M92" s="284"/>
      <c r="N92" s="5"/>
      <c r="O92" s="275">
        <v>6</v>
      </c>
      <c r="P92" s="286" t="s">
        <v>54</v>
      </c>
      <c r="Q92" s="289">
        <v>1.54</v>
      </c>
      <c r="R92" s="282">
        <v>3.3599999999999998E-2</v>
      </c>
      <c r="T92" s="275">
        <v>6</v>
      </c>
      <c r="U92" s="275" t="s">
        <v>56</v>
      </c>
      <c r="V92" s="275">
        <v>0.05</v>
      </c>
      <c r="W92" s="288">
        <v>4.3E-3</v>
      </c>
      <c r="Z92" s="274"/>
      <c r="AD92" s="273"/>
      <c r="AF92" s="274"/>
    </row>
    <row r="93" spans="1:32" s="272" customFormat="1" ht="14" customHeight="1" x14ac:dyDescent="0.25">
      <c r="A93" s="269"/>
      <c r="B93" s="275">
        <v>7</v>
      </c>
      <c r="C93" s="280" t="s">
        <v>953</v>
      </c>
      <c r="D93" s="276">
        <v>1.54</v>
      </c>
      <c r="E93" s="277">
        <v>2.7199999999999998E-2</v>
      </c>
      <c r="F93" s="277"/>
      <c r="G93" s="281"/>
      <c r="H93" s="5"/>
      <c r="I93" s="275">
        <v>7</v>
      </c>
      <c r="J93" s="275" t="s">
        <v>20</v>
      </c>
      <c r="K93" s="276">
        <v>3.63</v>
      </c>
      <c r="L93" s="277">
        <v>2.9100000000000001E-2</v>
      </c>
      <c r="M93" s="284"/>
      <c r="N93" s="5"/>
      <c r="O93" s="275">
        <v>7</v>
      </c>
      <c r="P93" s="286" t="s">
        <v>948</v>
      </c>
      <c r="Q93" s="289">
        <v>1.4</v>
      </c>
      <c r="R93" s="282">
        <v>3.0499999999999999E-2</v>
      </c>
      <c r="S93" s="5"/>
      <c r="T93" s="275">
        <v>7</v>
      </c>
      <c r="U93" s="285" t="s">
        <v>22</v>
      </c>
      <c r="V93" s="275">
        <v>0.02</v>
      </c>
      <c r="W93" s="288">
        <v>1.6999999999999999E-3</v>
      </c>
      <c r="Z93" s="274"/>
      <c r="AD93" s="273"/>
      <c r="AF93" s="274"/>
    </row>
    <row r="94" spans="1:32" s="272" customFormat="1" ht="14" customHeight="1" x14ac:dyDescent="0.25">
      <c r="A94" s="269"/>
      <c r="B94" s="275">
        <v>8</v>
      </c>
      <c r="C94" s="280" t="s">
        <v>948</v>
      </c>
      <c r="D94" s="276">
        <v>1.4</v>
      </c>
      <c r="E94" s="277">
        <v>2.47E-2</v>
      </c>
      <c r="F94" s="277"/>
      <c r="G94" s="281"/>
      <c r="H94" s="5"/>
      <c r="I94" s="275">
        <v>8</v>
      </c>
      <c r="J94" s="275" t="s">
        <v>30</v>
      </c>
      <c r="K94" s="276">
        <v>3.32</v>
      </c>
      <c r="L94" s="277">
        <v>2.6599999999999999E-2</v>
      </c>
      <c r="M94" s="284"/>
      <c r="N94" s="5"/>
      <c r="O94" s="275">
        <v>8</v>
      </c>
      <c r="P94" s="286" t="s">
        <v>785</v>
      </c>
      <c r="Q94" s="289">
        <v>1.35</v>
      </c>
      <c r="R94" s="282">
        <v>2.9600000000000001E-2</v>
      </c>
      <c r="S94" s="5"/>
      <c r="T94" s="275">
        <v>8</v>
      </c>
      <c r="U94" s="285" t="s">
        <v>954</v>
      </c>
      <c r="V94" s="275">
        <v>0.01</v>
      </c>
      <c r="W94" s="288">
        <v>6.9999999999999999E-4</v>
      </c>
      <c r="Z94" s="274"/>
      <c r="AD94" s="273"/>
      <c r="AF94" s="274"/>
    </row>
    <row r="95" spans="1:32" s="272" customFormat="1" ht="14" customHeight="1" x14ac:dyDescent="0.25">
      <c r="A95" s="269"/>
      <c r="B95" s="275">
        <v>9</v>
      </c>
      <c r="C95" s="280" t="s">
        <v>785</v>
      </c>
      <c r="D95" s="276">
        <v>1.35</v>
      </c>
      <c r="E95" s="277">
        <v>2.4E-2</v>
      </c>
      <c r="F95" s="277"/>
      <c r="G95" s="281"/>
      <c r="H95" s="5"/>
      <c r="I95" s="275">
        <v>9</v>
      </c>
      <c r="J95" s="275" t="s">
        <v>785</v>
      </c>
      <c r="K95" s="276">
        <v>2.78</v>
      </c>
      <c r="L95" s="277">
        <v>2.23E-2</v>
      </c>
      <c r="M95" s="284"/>
      <c r="N95" s="5"/>
      <c r="O95" s="275">
        <v>9</v>
      </c>
      <c r="P95" s="286" t="s">
        <v>949</v>
      </c>
      <c r="Q95" s="287">
        <v>1.26</v>
      </c>
      <c r="R95" s="282">
        <v>2.76E-2</v>
      </c>
      <c r="S95" s="5"/>
      <c r="T95" s="275">
        <v>9</v>
      </c>
      <c r="U95" s="285" t="s">
        <v>931</v>
      </c>
      <c r="V95" s="290">
        <v>1E-3</v>
      </c>
      <c r="W95" s="288">
        <v>1E-4</v>
      </c>
      <c r="Z95" s="274"/>
      <c r="AD95" s="273"/>
      <c r="AF95" s="274"/>
    </row>
    <row r="96" spans="1:32" s="272" customFormat="1" ht="14" customHeight="1" x14ac:dyDescent="0.25">
      <c r="A96" s="269"/>
      <c r="B96" s="275">
        <v>10</v>
      </c>
      <c r="C96" s="280" t="s">
        <v>56</v>
      </c>
      <c r="D96" s="276">
        <v>1.31</v>
      </c>
      <c r="E96" s="277">
        <v>2.3199999999999998E-2</v>
      </c>
      <c r="F96" s="277"/>
      <c r="G96" s="281"/>
      <c r="H96" s="5"/>
      <c r="I96" s="275">
        <v>10</v>
      </c>
      <c r="J96" s="275" t="s">
        <v>56</v>
      </c>
      <c r="K96" s="276">
        <v>2.72</v>
      </c>
      <c r="L96" s="277">
        <v>2.18E-2</v>
      </c>
      <c r="M96" s="284"/>
      <c r="N96" s="5"/>
      <c r="O96" s="275">
        <v>10</v>
      </c>
      <c r="P96" s="5" t="s">
        <v>956</v>
      </c>
      <c r="Q96" s="287">
        <v>0.88</v>
      </c>
      <c r="R96" s="282">
        <v>1.9199999999999998E-2</v>
      </c>
      <c r="S96" s="5"/>
      <c r="T96" s="275">
        <v>10</v>
      </c>
      <c r="U96" s="285" t="s">
        <v>30</v>
      </c>
      <c r="V96" s="275">
        <v>1E-3</v>
      </c>
      <c r="W96" s="288">
        <v>1E-4</v>
      </c>
      <c r="Z96" s="274"/>
      <c r="AD96" s="273"/>
      <c r="AF96" s="274"/>
    </row>
    <row r="97" spans="1:32" s="272" customFormat="1" ht="14" customHeight="1" x14ac:dyDescent="0.25">
      <c r="A97" s="269"/>
      <c r="B97" s="275">
        <v>11</v>
      </c>
      <c r="C97" s="280" t="s">
        <v>35</v>
      </c>
      <c r="D97" s="276">
        <v>1.04</v>
      </c>
      <c r="E97" s="277">
        <v>1.84E-2</v>
      </c>
      <c r="F97" s="277"/>
      <c r="G97" s="281"/>
      <c r="H97" s="5"/>
      <c r="I97" s="275">
        <v>11</v>
      </c>
      <c r="J97" s="275" t="s">
        <v>35</v>
      </c>
      <c r="K97" s="276">
        <v>2.4300000000000002</v>
      </c>
      <c r="L97" s="277">
        <v>1.95E-2</v>
      </c>
      <c r="M97" s="284"/>
      <c r="N97" s="291"/>
      <c r="O97" s="275">
        <v>11</v>
      </c>
      <c r="P97" s="5" t="s">
        <v>896</v>
      </c>
      <c r="Q97" s="287">
        <v>0.35</v>
      </c>
      <c r="R97" s="282">
        <v>7.7000000000000002E-3</v>
      </c>
      <c r="S97" s="5"/>
      <c r="T97" s="275"/>
      <c r="U97" s="285"/>
      <c r="V97" s="275"/>
      <c r="W97" s="288"/>
      <c r="Z97" s="274"/>
      <c r="AD97" s="273"/>
      <c r="AF97" s="274"/>
    </row>
    <row r="98" spans="1:32" s="272" customFormat="1" ht="14" customHeight="1" x14ac:dyDescent="0.25">
      <c r="A98" s="269"/>
      <c r="B98" s="275">
        <v>12</v>
      </c>
      <c r="C98" s="280" t="s">
        <v>893</v>
      </c>
      <c r="D98" s="276">
        <v>0.88</v>
      </c>
      <c r="E98" s="277">
        <v>1.5599999999999999E-2</v>
      </c>
      <c r="F98" s="277"/>
      <c r="G98" s="281"/>
      <c r="H98" s="5"/>
      <c r="I98" s="275">
        <v>12</v>
      </c>
      <c r="J98" s="275" t="s">
        <v>893</v>
      </c>
      <c r="K98" s="276">
        <v>1.53</v>
      </c>
      <c r="L98" s="277">
        <v>1.23E-2</v>
      </c>
      <c r="M98" s="284"/>
      <c r="N98" s="5"/>
      <c r="O98" s="275">
        <v>12</v>
      </c>
      <c r="P98" s="286" t="s">
        <v>35</v>
      </c>
      <c r="Q98" s="287">
        <v>0.31</v>
      </c>
      <c r="R98" s="282">
        <v>6.8999999999999999E-3</v>
      </c>
      <c r="S98" s="5"/>
      <c r="T98" s="275"/>
      <c r="U98" s="285"/>
      <c r="V98" s="290"/>
      <c r="W98" s="288"/>
      <c r="Z98" s="274"/>
      <c r="AD98" s="273"/>
      <c r="AF98" s="274"/>
    </row>
    <row r="99" spans="1:32" s="272" customFormat="1" ht="14" customHeight="1" x14ac:dyDescent="0.25">
      <c r="A99" s="269"/>
      <c r="B99" s="275">
        <v>13</v>
      </c>
      <c r="C99" s="280" t="s">
        <v>896</v>
      </c>
      <c r="D99" s="276">
        <v>0.35</v>
      </c>
      <c r="E99" s="277">
        <v>6.1999999999999998E-3</v>
      </c>
      <c r="F99" s="277"/>
      <c r="G99" s="281"/>
      <c r="H99" s="5"/>
      <c r="I99" s="275">
        <v>13</v>
      </c>
      <c r="J99" s="275" t="s">
        <v>892</v>
      </c>
      <c r="K99" s="276">
        <v>0.88</v>
      </c>
      <c r="L99" s="277">
        <v>7.1000000000000004E-3</v>
      </c>
      <c r="M99" s="284"/>
      <c r="N99" s="5"/>
      <c r="O99" s="275">
        <v>13</v>
      </c>
      <c r="P99" s="286" t="s">
        <v>957</v>
      </c>
      <c r="Q99" s="289">
        <v>0.28999999999999998</v>
      </c>
      <c r="R99" s="282">
        <v>6.3E-3</v>
      </c>
      <c r="S99" s="5"/>
      <c r="T99" s="275"/>
      <c r="U99" s="285"/>
      <c r="V99" s="290"/>
      <c r="W99" s="288"/>
      <c r="Z99" s="274"/>
      <c r="AD99" s="273"/>
      <c r="AF99" s="274"/>
    </row>
    <row r="100" spans="1:32" s="272" customFormat="1" ht="14" customHeight="1" x14ac:dyDescent="0.25">
      <c r="A100" s="269"/>
      <c r="B100" s="275">
        <v>14</v>
      </c>
      <c r="C100" s="280" t="s">
        <v>892</v>
      </c>
      <c r="D100" s="276">
        <v>0.28999999999999998</v>
      </c>
      <c r="E100" s="277">
        <v>5.1000000000000004E-3</v>
      </c>
      <c r="F100" s="284"/>
      <c r="G100" s="281"/>
      <c r="H100" s="5"/>
      <c r="I100" s="275">
        <v>14</v>
      </c>
      <c r="J100" s="275" t="s">
        <v>955</v>
      </c>
      <c r="K100" s="276">
        <v>0.71</v>
      </c>
      <c r="L100" s="277">
        <v>5.7000000000000002E-3</v>
      </c>
      <c r="M100" s="284"/>
      <c r="N100" s="5"/>
      <c r="O100" s="275">
        <v>14</v>
      </c>
      <c r="P100" s="286" t="s">
        <v>958</v>
      </c>
      <c r="Q100" s="287">
        <v>0.21</v>
      </c>
      <c r="R100" s="282">
        <v>4.4999999999999997E-3</v>
      </c>
      <c r="S100" s="5"/>
      <c r="T100" s="5"/>
      <c r="U100" s="275"/>
      <c r="V100" s="290"/>
      <c r="W100" s="288"/>
      <c r="Z100" s="274"/>
      <c r="AD100" s="273"/>
      <c r="AF100" s="274"/>
    </row>
    <row r="101" spans="1:32" s="272" customFormat="1" ht="14" customHeight="1" x14ac:dyDescent="0.25">
      <c r="A101" s="269"/>
      <c r="B101" s="275">
        <v>15</v>
      </c>
      <c r="C101" s="280" t="s">
        <v>954</v>
      </c>
      <c r="D101" s="50">
        <v>0.21</v>
      </c>
      <c r="E101" s="277">
        <v>3.7000000000000002E-3</v>
      </c>
      <c r="F101" s="284"/>
      <c r="G101" s="281"/>
      <c r="H101" s="5"/>
      <c r="I101" s="275">
        <v>15</v>
      </c>
      <c r="J101" s="275" t="s">
        <v>895</v>
      </c>
      <c r="K101" s="276">
        <v>0.54</v>
      </c>
      <c r="L101" s="277">
        <v>4.3E-3</v>
      </c>
      <c r="M101" s="284"/>
      <c r="N101" s="5"/>
      <c r="O101" s="275">
        <v>15</v>
      </c>
      <c r="P101" s="286" t="s">
        <v>895</v>
      </c>
      <c r="Q101" s="289">
        <v>0.2</v>
      </c>
      <c r="R101" s="282">
        <v>4.4000000000000003E-3</v>
      </c>
      <c r="S101" s="5"/>
      <c r="T101" s="292"/>
      <c r="U101" s="275"/>
      <c r="V101" s="290"/>
      <c r="W101" s="288"/>
      <c r="X101" s="293"/>
      <c r="Z101" s="274"/>
      <c r="AD101" s="273"/>
      <c r="AF101" s="274"/>
    </row>
    <row r="102" spans="1:32" ht="14" customHeight="1" x14ac:dyDescent="0.25">
      <c r="B102" s="21"/>
      <c r="C102" s="21"/>
      <c r="D102" s="6"/>
      <c r="E102" s="16"/>
      <c r="F102" s="55"/>
      <c r="G102" s="17"/>
      <c r="J102" s="21"/>
      <c r="L102" s="16"/>
      <c r="O102" s="43"/>
      <c r="P102" s="21"/>
      <c r="Q102" s="62"/>
      <c r="R102" s="16"/>
      <c r="S102" s="15"/>
      <c r="T102" s="61"/>
      <c r="U102" s="216"/>
      <c r="V102" s="216"/>
      <c r="W102" s="216"/>
      <c r="X102" s="216"/>
      <c r="Z102" s="47"/>
      <c r="AD102" s="227"/>
      <c r="AF102" s="47"/>
    </row>
    <row r="103" spans="1:32" s="272" customFormat="1" ht="14" customHeight="1" x14ac:dyDescent="0.25">
      <c r="A103" s="269"/>
      <c r="B103" s="5" t="s">
        <v>917</v>
      </c>
      <c r="C103" s="5"/>
      <c r="D103" s="270"/>
      <c r="E103" s="5"/>
      <c r="F103" s="5"/>
      <c r="G103" s="5"/>
      <c r="H103" s="5"/>
      <c r="I103" s="5" t="s">
        <v>918</v>
      </c>
      <c r="J103" s="270"/>
      <c r="K103" s="5"/>
      <c r="L103" s="5"/>
      <c r="M103" s="5"/>
      <c r="N103" s="5"/>
      <c r="O103" s="271" t="s">
        <v>919</v>
      </c>
      <c r="T103" s="271" t="s">
        <v>920</v>
      </c>
      <c r="X103" s="273"/>
      <c r="Z103" s="274"/>
      <c r="AC103" s="273"/>
    </row>
    <row r="104" spans="1:32" s="272" customFormat="1" ht="14" customHeight="1" x14ac:dyDescent="0.25">
      <c r="A104" s="269"/>
      <c r="B104" s="5" t="s">
        <v>928</v>
      </c>
      <c r="C104" s="275" t="s">
        <v>929</v>
      </c>
      <c r="D104" s="276" t="s">
        <v>930</v>
      </c>
      <c r="E104" s="277" t="s">
        <v>927</v>
      </c>
      <c r="F104" s="275"/>
      <c r="G104" s="278"/>
      <c r="H104" s="5"/>
      <c r="I104" s="5" t="s">
        <v>928</v>
      </c>
      <c r="J104" s="275" t="s">
        <v>929</v>
      </c>
      <c r="K104" s="276" t="s">
        <v>930</v>
      </c>
      <c r="L104" s="277" t="s">
        <v>927</v>
      </c>
      <c r="M104" s="279"/>
      <c r="N104" s="5"/>
      <c r="O104" s="5" t="s">
        <v>928</v>
      </c>
      <c r="P104" s="5" t="s">
        <v>929</v>
      </c>
      <c r="Q104" s="5" t="s">
        <v>930</v>
      </c>
      <c r="R104" s="5" t="s">
        <v>927</v>
      </c>
      <c r="S104" s="275"/>
      <c r="T104" s="5" t="s">
        <v>928</v>
      </c>
      <c r="U104" s="5" t="s">
        <v>929</v>
      </c>
      <c r="V104" s="5" t="s">
        <v>930</v>
      </c>
      <c r="W104" s="5" t="s">
        <v>927</v>
      </c>
      <c r="X104" s="275"/>
      <c r="Z104" s="274"/>
      <c r="AA104" s="271"/>
      <c r="AB104" s="275"/>
      <c r="AC104" s="276"/>
      <c r="AD104" s="277"/>
      <c r="AE104" s="275"/>
      <c r="AF104" s="275"/>
    </row>
    <row r="105" spans="1:32" s="272" customFormat="1" ht="14" customHeight="1" x14ac:dyDescent="0.25">
      <c r="A105" s="269"/>
      <c r="B105" s="275">
        <v>1</v>
      </c>
      <c r="C105" s="280" t="s">
        <v>17</v>
      </c>
      <c r="D105" s="280">
        <v>12.9</v>
      </c>
      <c r="E105" s="277">
        <v>0.49099999999999999</v>
      </c>
      <c r="F105" s="277"/>
      <c r="G105" s="281"/>
      <c r="H105" s="5"/>
      <c r="I105" s="275">
        <v>1</v>
      </c>
      <c r="J105" s="275" t="s">
        <v>910</v>
      </c>
      <c r="K105" s="280">
        <v>33.82</v>
      </c>
      <c r="L105" s="282">
        <v>0.49530000000000002</v>
      </c>
      <c r="M105" s="275"/>
      <c r="N105" s="5"/>
      <c r="O105" s="5">
        <v>1</v>
      </c>
      <c r="P105" s="5" t="s">
        <v>17</v>
      </c>
      <c r="Q105" s="5">
        <v>9.1199999999999992</v>
      </c>
      <c r="R105" s="277">
        <v>0.44350000000000001</v>
      </c>
      <c r="T105" s="5">
        <v>1</v>
      </c>
      <c r="U105" s="5" t="s">
        <v>910</v>
      </c>
      <c r="V105" s="5">
        <v>3.78</v>
      </c>
      <c r="W105" s="277">
        <v>0.66239999999999999</v>
      </c>
      <c r="Z105" s="274"/>
      <c r="AA105" s="275"/>
      <c r="AB105" s="275"/>
      <c r="AC105" s="280"/>
      <c r="AD105" s="277"/>
      <c r="AE105" s="277"/>
      <c r="AF105" s="283"/>
    </row>
    <row r="106" spans="1:32" s="272" customFormat="1" ht="14" customHeight="1" x14ac:dyDescent="0.25">
      <c r="A106" s="269"/>
      <c r="B106" s="275">
        <v>2</v>
      </c>
      <c r="C106" s="280" t="s">
        <v>15</v>
      </c>
      <c r="D106" s="276">
        <v>3.56</v>
      </c>
      <c r="E106" s="277">
        <v>0.1356</v>
      </c>
      <c r="F106" s="277"/>
      <c r="G106" s="281"/>
      <c r="H106" s="5"/>
      <c r="I106" s="275">
        <v>2</v>
      </c>
      <c r="J106" s="275" t="s">
        <v>911</v>
      </c>
      <c r="K106" s="276">
        <v>10.89</v>
      </c>
      <c r="L106" s="277">
        <v>0.15939999999999999</v>
      </c>
      <c r="M106" s="284"/>
      <c r="N106" s="5"/>
      <c r="O106" s="275">
        <v>2</v>
      </c>
      <c r="P106" s="275" t="s">
        <v>15</v>
      </c>
      <c r="Q106" s="276">
        <v>3.56</v>
      </c>
      <c r="R106" s="285">
        <v>0.17330000000000001</v>
      </c>
      <c r="T106" s="275">
        <v>2</v>
      </c>
      <c r="U106" s="285" t="s">
        <v>933</v>
      </c>
      <c r="V106" s="275">
        <v>1.42</v>
      </c>
      <c r="W106" s="286">
        <v>0.24859999999999999</v>
      </c>
      <c r="Z106" s="274"/>
      <c r="AA106" s="275"/>
      <c r="AB106" s="275"/>
      <c r="AC106" s="276"/>
      <c r="AD106" s="277"/>
      <c r="AE106" s="277"/>
      <c r="AF106" s="283"/>
    </row>
    <row r="107" spans="1:32" s="272" customFormat="1" ht="14" customHeight="1" x14ac:dyDescent="0.25">
      <c r="A107" s="269"/>
      <c r="B107" s="275">
        <v>3</v>
      </c>
      <c r="C107" s="280" t="s">
        <v>21</v>
      </c>
      <c r="D107" s="276">
        <v>1.58</v>
      </c>
      <c r="E107" s="277">
        <v>0.06</v>
      </c>
      <c r="F107" s="277"/>
      <c r="G107" s="281"/>
      <c r="H107" s="5"/>
      <c r="I107" s="275">
        <v>3</v>
      </c>
      <c r="J107" s="275" t="s">
        <v>913</v>
      </c>
      <c r="K107" s="276">
        <v>3.93</v>
      </c>
      <c r="L107" s="277">
        <v>5.7599999999999998E-2</v>
      </c>
      <c r="M107" s="284"/>
      <c r="N107" s="5"/>
      <c r="O107" s="275">
        <v>3</v>
      </c>
      <c r="P107" s="286" t="s">
        <v>21</v>
      </c>
      <c r="Q107" s="287">
        <v>1.39</v>
      </c>
      <c r="R107" s="282">
        <v>6.7799999999999999E-2</v>
      </c>
      <c r="T107" s="275">
        <v>3</v>
      </c>
      <c r="U107" s="285" t="s">
        <v>934</v>
      </c>
      <c r="V107" s="275">
        <v>0.23</v>
      </c>
      <c r="W107" s="288">
        <v>3.9899999999999998E-2</v>
      </c>
      <c r="Z107" s="274"/>
      <c r="AA107" s="275"/>
      <c r="AB107" s="275"/>
      <c r="AC107" s="276"/>
      <c r="AD107" s="277"/>
      <c r="AE107" s="277"/>
      <c r="AF107" s="283"/>
    </row>
    <row r="108" spans="1:32" s="272" customFormat="1" ht="14" customHeight="1" x14ac:dyDescent="0.25">
      <c r="A108" s="269"/>
      <c r="B108" s="275">
        <v>4</v>
      </c>
      <c r="C108" s="280" t="s">
        <v>20</v>
      </c>
      <c r="D108" s="276">
        <v>1.42</v>
      </c>
      <c r="E108" s="277">
        <v>5.3999999999999999E-2</v>
      </c>
      <c r="F108" s="277"/>
      <c r="G108" s="281"/>
      <c r="H108" s="5"/>
      <c r="I108" s="275">
        <v>4</v>
      </c>
      <c r="J108" s="275" t="s">
        <v>914</v>
      </c>
      <c r="K108" s="276">
        <v>3.8</v>
      </c>
      <c r="L108" s="277">
        <v>5.5599999999999997E-2</v>
      </c>
      <c r="M108" s="284"/>
      <c r="N108" s="5"/>
      <c r="O108" s="275">
        <v>4</v>
      </c>
      <c r="P108" s="286" t="s">
        <v>22</v>
      </c>
      <c r="Q108" s="289">
        <v>1.35</v>
      </c>
      <c r="R108" s="282">
        <v>6.5699999999999995E-2</v>
      </c>
      <c r="T108" s="275">
        <v>4</v>
      </c>
      <c r="U108" s="285" t="s">
        <v>21</v>
      </c>
      <c r="V108" s="275">
        <v>0.18</v>
      </c>
      <c r="W108" s="288">
        <v>3.2099999999999997E-2</v>
      </c>
      <c r="Z108" s="274"/>
      <c r="AA108" s="275"/>
      <c r="AB108" s="275"/>
      <c r="AC108" s="276"/>
      <c r="AD108" s="277"/>
      <c r="AE108" s="277"/>
      <c r="AF108" s="283"/>
    </row>
    <row r="109" spans="1:32" s="272" customFormat="1" ht="14" customHeight="1" x14ac:dyDescent="0.25">
      <c r="A109" s="269"/>
      <c r="B109" s="275">
        <v>5</v>
      </c>
      <c r="C109" s="280" t="s">
        <v>22</v>
      </c>
      <c r="D109" s="276">
        <v>1.39</v>
      </c>
      <c r="E109" s="277">
        <v>5.2699999999999997E-2</v>
      </c>
      <c r="F109" s="277"/>
      <c r="G109" s="281"/>
      <c r="H109" s="5"/>
      <c r="I109" s="275">
        <v>5</v>
      </c>
      <c r="J109" s="275" t="s">
        <v>926</v>
      </c>
      <c r="K109" s="276">
        <v>3.27</v>
      </c>
      <c r="L109" s="277">
        <v>4.7899999999999998E-2</v>
      </c>
      <c r="M109" s="284"/>
      <c r="N109" s="5"/>
      <c r="O109" s="275">
        <v>5</v>
      </c>
      <c r="P109" s="286" t="s">
        <v>32</v>
      </c>
      <c r="Q109" s="287">
        <v>1.1599999999999999</v>
      </c>
      <c r="R109" s="282">
        <v>5.6500000000000002E-2</v>
      </c>
      <c r="T109" s="275">
        <v>5</v>
      </c>
      <c r="U109" s="275" t="s">
        <v>32</v>
      </c>
      <c r="V109" s="275">
        <v>0.04</v>
      </c>
      <c r="W109" s="288">
        <v>6.4000000000000003E-3</v>
      </c>
      <c r="Z109" s="274"/>
      <c r="AA109" s="275"/>
      <c r="AB109" s="275"/>
      <c r="AC109" s="276"/>
      <c r="AD109" s="277"/>
      <c r="AE109" s="277"/>
      <c r="AF109" s="283"/>
    </row>
    <row r="110" spans="1:32" s="272" customFormat="1" ht="14" customHeight="1" x14ac:dyDescent="0.25">
      <c r="A110" s="269"/>
      <c r="B110" s="275">
        <v>6</v>
      </c>
      <c r="C110" s="280" t="s">
        <v>32</v>
      </c>
      <c r="D110" s="276">
        <v>1.2</v>
      </c>
      <c r="E110" s="277">
        <v>4.5600000000000002E-2</v>
      </c>
      <c r="F110" s="277"/>
      <c r="G110" s="281"/>
      <c r="H110" s="5"/>
      <c r="I110" s="275">
        <v>6</v>
      </c>
      <c r="J110" s="275" t="s">
        <v>925</v>
      </c>
      <c r="K110" s="276">
        <v>2.1</v>
      </c>
      <c r="L110" s="277">
        <v>3.0800000000000001E-2</v>
      </c>
      <c r="M110" s="284"/>
      <c r="N110" s="5"/>
      <c r="O110" s="275">
        <v>6</v>
      </c>
      <c r="P110" s="286" t="s">
        <v>54</v>
      </c>
      <c r="Q110" s="289">
        <v>0.82</v>
      </c>
      <c r="R110" s="282">
        <v>3.9800000000000002E-2</v>
      </c>
      <c r="T110" s="275">
        <v>6</v>
      </c>
      <c r="U110" s="275" t="s">
        <v>22</v>
      </c>
      <c r="V110" s="275">
        <v>0.03</v>
      </c>
      <c r="W110" s="288">
        <v>6.1000000000000004E-3</v>
      </c>
      <c r="Z110" s="274"/>
      <c r="AD110" s="273"/>
      <c r="AF110" s="274"/>
    </row>
    <row r="111" spans="1:32" s="272" customFormat="1" ht="14" customHeight="1" x14ac:dyDescent="0.25">
      <c r="A111" s="269"/>
      <c r="B111" s="275">
        <v>7</v>
      </c>
      <c r="C111" s="280" t="s">
        <v>925</v>
      </c>
      <c r="D111" s="276">
        <v>0.82</v>
      </c>
      <c r="E111" s="277">
        <v>3.1199999999999999E-2</v>
      </c>
      <c r="F111" s="277"/>
      <c r="G111" s="281"/>
      <c r="H111" s="5"/>
      <c r="I111" s="275">
        <v>7</v>
      </c>
      <c r="J111" s="275" t="s">
        <v>30</v>
      </c>
      <c r="K111" s="276">
        <v>1.93</v>
      </c>
      <c r="L111" s="277">
        <v>2.8199999999999999E-2</v>
      </c>
      <c r="M111" s="284"/>
      <c r="N111" s="5"/>
      <c r="O111" s="275">
        <v>7</v>
      </c>
      <c r="P111" s="286" t="s">
        <v>948</v>
      </c>
      <c r="Q111" s="289">
        <v>0.75</v>
      </c>
      <c r="R111" s="282">
        <v>3.6400000000000002E-2</v>
      </c>
      <c r="S111" s="5"/>
      <c r="T111" s="275">
        <v>7</v>
      </c>
      <c r="U111" s="285" t="s">
        <v>56</v>
      </c>
      <c r="V111" s="275">
        <v>0.02</v>
      </c>
      <c r="W111" s="288">
        <v>3.3999999999999998E-3</v>
      </c>
      <c r="Z111" s="274"/>
      <c r="AD111" s="273"/>
      <c r="AF111" s="274"/>
    </row>
    <row r="112" spans="1:32" s="272" customFormat="1" ht="14" customHeight="1" x14ac:dyDescent="0.25">
      <c r="A112" s="269"/>
      <c r="B112" s="275">
        <v>8</v>
      </c>
      <c r="C112" s="280" t="s">
        <v>30</v>
      </c>
      <c r="D112" s="276">
        <v>0.75</v>
      </c>
      <c r="E112" s="277">
        <v>2.8500000000000001E-2</v>
      </c>
      <c r="F112" s="277"/>
      <c r="G112" s="281"/>
      <c r="H112" s="5"/>
      <c r="I112" s="275">
        <v>8</v>
      </c>
      <c r="J112" s="275" t="s">
        <v>20</v>
      </c>
      <c r="K112" s="276">
        <v>1.71</v>
      </c>
      <c r="L112" s="277">
        <v>2.5100000000000001E-2</v>
      </c>
      <c r="M112" s="284"/>
      <c r="N112" s="5"/>
      <c r="O112" s="275">
        <v>8</v>
      </c>
      <c r="P112" s="286" t="s">
        <v>785</v>
      </c>
      <c r="Q112" s="289">
        <v>0.66</v>
      </c>
      <c r="R112" s="282">
        <v>3.2000000000000001E-2</v>
      </c>
      <c r="S112" s="5"/>
      <c r="T112" s="275">
        <v>8</v>
      </c>
      <c r="U112" s="285" t="s">
        <v>932</v>
      </c>
      <c r="V112" s="275">
        <v>4.0000000000000001E-3</v>
      </c>
      <c r="W112" s="288">
        <v>6.9999999999999999E-4</v>
      </c>
      <c r="Z112" s="274"/>
      <c r="AD112" s="273"/>
      <c r="AF112" s="274"/>
    </row>
    <row r="113" spans="1:41" s="272" customFormat="1" ht="14" customHeight="1" x14ac:dyDescent="0.25">
      <c r="A113" s="269"/>
      <c r="B113" s="275">
        <v>9</v>
      </c>
      <c r="C113" s="280" t="s">
        <v>924</v>
      </c>
      <c r="D113" s="276">
        <v>0.66</v>
      </c>
      <c r="E113" s="277">
        <v>2.5000000000000001E-2</v>
      </c>
      <c r="F113" s="277"/>
      <c r="G113" s="281"/>
      <c r="H113" s="5"/>
      <c r="I113" s="275">
        <v>9</v>
      </c>
      <c r="J113" s="275" t="s">
        <v>785</v>
      </c>
      <c r="K113" s="276">
        <v>1.42</v>
      </c>
      <c r="L113" s="277">
        <v>2.0899999999999998E-2</v>
      </c>
      <c r="M113" s="284"/>
      <c r="N113" s="5"/>
      <c r="O113" s="275">
        <v>9</v>
      </c>
      <c r="P113" s="286" t="s">
        <v>949</v>
      </c>
      <c r="Q113" s="287">
        <v>0.52</v>
      </c>
      <c r="R113" s="282">
        <v>2.5499999999999998E-2</v>
      </c>
      <c r="S113" s="5"/>
      <c r="T113" s="275">
        <v>9</v>
      </c>
      <c r="U113" s="285" t="s">
        <v>931</v>
      </c>
      <c r="V113" s="290">
        <v>2E-3</v>
      </c>
      <c r="W113" s="288">
        <v>4.0000000000000002E-4</v>
      </c>
      <c r="Z113" s="274"/>
      <c r="AD113" s="273"/>
      <c r="AF113" s="274"/>
    </row>
    <row r="114" spans="1:41" s="272" customFormat="1" ht="14" customHeight="1" x14ac:dyDescent="0.25">
      <c r="A114" s="269"/>
      <c r="B114" s="275">
        <v>10</v>
      </c>
      <c r="C114" s="280" t="s">
        <v>56</v>
      </c>
      <c r="D114" s="276">
        <v>0.54</v>
      </c>
      <c r="E114" s="277">
        <v>2.07E-2</v>
      </c>
      <c r="F114" s="277"/>
      <c r="G114" s="281"/>
      <c r="H114" s="5"/>
      <c r="I114" s="275">
        <v>10</v>
      </c>
      <c r="J114" s="275" t="s">
        <v>56</v>
      </c>
      <c r="K114" s="276">
        <v>1.42</v>
      </c>
      <c r="L114" s="277">
        <v>2.07E-2</v>
      </c>
      <c r="M114" s="284"/>
      <c r="N114" s="5"/>
      <c r="O114" s="275">
        <v>10</v>
      </c>
      <c r="P114" s="5" t="s">
        <v>893</v>
      </c>
      <c r="Q114" s="287">
        <v>0.34</v>
      </c>
      <c r="R114" s="282">
        <v>1.6799999999999999E-2</v>
      </c>
      <c r="S114" s="5"/>
      <c r="T114" s="275">
        <v>10</v>
      </c>
      <c r="U114" s="285" t="s">
        <v>30</v>
      </c>
      <c r="V114" s="275">
        <v>0</v>
      </c>
      <c r="W114" s="288">
        <v>0</v>
      </c>
      <c r="Z114" s="274"/>
      <c r="AD114" s="273"/>
      <c r="AF114" s="274"/>
    </row>
    <row r="115" spans="1:41" s="272" customFormat="1" ht="14" customHeight="1" x14ac:dyDescent="0.25">
      <c r="A115" s="269"/>
      <c r="B115" s="275">
        <v>11</v>
      </c>
      <c r="C115" s="280" t="s">
        <v>893</v>
      </c>
      <c r="D115" s="276">
        <v>0.34</v>
      </c>
      <c r="E115" s="277">
        <v>1.3100000000000001E-2</v>
      </c>
      <c r="F115" s="277"/>
      <c r="G115" s="281"/>
      <c r="H115" s="5"/>
      <c r="I115" s="275">
        <v>11</v>
      </c>
      <c r="J115" s="275" t="s">
        <v>35</v>
      </c>
      <c r="K115" s="276">
        <v>1.39</v>
      </c>
      <c r="L115" s="277">
        <v>2.0400000000000001E-2</v>
      </c>
      <c r="M115" s="284"/>
      <c r="N115" s="291"/>
      <c r="O115" s="275">
        <v>11</v>
      </c>
      <c r="P115" s="286" t="s">
        <v>892</v>
      </c>
      <c r="Q115" s="287">
        <v>0.21</v>
      </c>
      <c r="R115" s="282">
        <v>1.03E-2</v>
      </c>
      <c r="S115" s="5"/>
      <c r="T115" s="275">
        <v>11</v>
      </c>
      <c r="U115" s="285"/>
      <c r="V115" s="275"/>
      <c r="W115" s="288"/>
      <c r="Z115" s="274"/>
      <c r="AD115" s="273"/>
      <c r="AF115" s="274"/>
    </row>
    <row r="116" spans="1:41" s="272" customFormat="1" ht="14" customHeight="1" x14ac:dyDescent="0.25">
      <c r="A116" s="269"/>
      <c r="B116" s="275">
        <v>12</v>
      </c>
      <c r="C116" s="280" t="s">
        <v>35</v>
      </c>
      <c r="D116" s="276">
        <v>0.34</v>
      </c>
      <c r="E116" s="277">
        <v>1.2999999999999999E-2</v>
      </c>
      <c r="F116" s="277"/>
      <c r="G116" s="281"/>
      <c r="H116" s="5"/>
      <c r="I116" s="275">
        <v>12</v>
      </c>
      <c r="J116" s="275" t="s">
        <v>893</v>
      </c>
      <c r="K116" s="276">
        <v>0.66</v>
      </c>
      <c r="L116" s="277">
        <v>9.5999999999999992E-3</v>
      </c>
      <c r="M116" s="284"/>
      <c r="N116" s="5"/>
      <c r="O116" s="275">
        <v>12</v>
      </c>
      <c r="P116" s="286" t="s">
        <v>896</v>
      </c>
      <c r="Q116" s="287">
        <v>0.18</v>
      </c>
      <c r="R116" s="282">
        <v>8.5000000000000006E-3</v>
      </c>
      <c r="S116" s="5"/>
      <c r="T116" s="275">
        <v>12</v>
      </c>
      <c r="U116" s="285"/>
      <c r="V116" s="290"/>
      <c r="W116" s="288"/>
      <c r="Z116" s="274"/>
      <c r="AD116" s="273"/>
      <c r="AF116" s="274"/>
    </row>
    <row r="117" spans="1:41" s="272" customFormat="1" ht="14" customHeight="1" x14ac:dyDescent="0.25">
      <c r="A117" s="269"/>
      <c r="B117" s="275">
        <v>13</v>
      </c>
      <c r="C117" s="280" t="s">
        <v>923</v>
      </c>
      <c r="D117" s="276">
        <v>0.21</v>
      </c>
      <c r="E117" s="277">
        <v>8.0999999999999996E-3</v>
      </c>
      <c r="F117" s="277"/>
      <c r="G117" s="281"/>
      <c r="H117" s="5"/>
      <c r="I117" s="275">
        <v>13</v>
      </c>
      <c r="J117" s="275" t="s">
        <v>892</v>
      </c>
      <c r="K117" s="276">
        <v>0.6</v>
      </c>
      <c r="L117" s="277">
        <v>8.6999999999999994E-3</v>
      </c>
      <c r="M117" s="284"/>
      <c r="N117" s="5"/>
      <c r="O117" s="275">
        <v>13</v>
      </c>
      <c r="P117" s="286" t="s">
        <v>950</v>
      </c>
      <c r="Q117" s="289">
        <v>0.11</v>
      </c>
      <c r="R117" s="282">
        <v>5.4999999999999997E-3</v>
      </c>
      <c r="S117" s="5"/>
      <c r="T117" s="275">
        <v>13</v>
      </c>
      <c r="U117" s="285"/>
      <c r="V117" s="290"/>
      <c r="W117" s="288"/>
      <c r="Z117" s="274"/>
      <c r="AD117" s="273"/>
      <c r="AF117" s="274"/>
    </row>
    <row r="118" spans="1:41" s="272" customFormat="1" ht="14" customHeight="1" x14ac:dyDescent="0.25">
      <c r="A118" s="269"/>
      <c r="B118" s="275">
        <v>14</v>
      </c>
      <c r="C118" s="280" t="s">
        <v>896</v>
      </c>
      <c r="D118" s="276">
        <v>0.18</v>
      </c>
      <c r="E118" s="277">
        <v>6.7000000000000002E-3</v>
      </c>
      <c r="F118" s="284"/>
      <c r="G118" s="281"/>
      <c r="H118" s="5"/>
      <c r="I118" s="275">
        <v>14</v>
      </c>
      <c r="J118" s="275" t="s">
        <v>896</v>
      </c>
      <c r="K118" s="276">
        <v>0.36</v>
      </c>
      <c r="L118" s="277">
        <v>5.1999999999999998E-3</v>
      </c>
      <c r="M118" s="284"/>
      <c r="N118" s="5"/>
      <c r="O118" s="275">
        <v>14</v>
      </c>
      <c r="P118" s="286" t="s">
        <v>921</v>
      </c>
      <c r="Q118" s="287">
        <v>0.1</v>
      </c>
      <c r="R118" s="282">
        <v>5.0000000000000001E-3</v>
      </c>
      <c r="S118" s="5"/>
      <c r="T118" s="5">
        <v>14</v>
      </c>
      <c r="U118" s="275"/>
      <c r="V118" s="290"/>
      <c r="W118" s="288"/>
      <c r="Z118" s="274"/>
      <c r="AD118" s="273"/>
      <c r="AF118" s="274"/>
    </row>
    <row r="119" spans="1:41" s="272" customFormat="1" ht="14" customHeight="1" x14ac:dyDescent="0.25">
      <c r="A119" s="269"/>
      <c r="B119" s="275">
        <v>15</v>
      </c>
      <c r="C119" s="280" t="s">
        <v>922</v>
      </c>
      <c r="D119" s="276">
        <v>0.1</v>
      </c>
      <c r="E119" s="277">
        <v>3.8999999999999998E-3</v>
      </c>
      <c r="F119" s="284"/>
      <c r="G119" s="281"/>
      <c r="H119" s="5"/>
      <c r="I119" s="275">
        <v>15</v>
      </c>
      <c r="J119" s="275" t="s">
        <v>895</v>
      </c>
      <c r="K119" s="276">
        <v>0.33</v>
      </c>
      <c r="L119" s="277">
        <v>4.7999999999999996E-3</v>
      </c>
      <c r="M119" s="284"/>
      <c r="N119" s="5"/>
      <c r="O119" s="275">
        <v>15</v>
      </c>
      <c r="P119" s="286" t="s">
        <v>895</v>
      </c>
      <c r="Q119" s="289">
        <v>0.09</v>
      </c>
      <c r="R119" s="282">
        <v>4.4000000000000003E-3</v>
      </c>
      <c r="S119" s="5"/>
      <c r="T119" s="292"/>
      <c r="U119" s="275"/>
      <c r="V119" s="290"/>
      <c r="W119" s="288"/>
      <c r="X119" s="293"/>
      <c r="Z119" s="274"/>
      <c r="AD119" s="273"/>
      <c r="AF119" s="274"/>
    </row>
    <row r="120" spans="1:41" ht="14" customHeight="1" x14ac:dyDescent="0.25">
      <c r="B120" s="21"/>
      <c r="C120" s="21"/>
      <c r="D120" s="50"/>
      <c r="E120" s="16"/>
      <c r="F120" s="55"/>
      <c r="G120" s="17"/>
      <c r="J120" s="21"/>
      <c r="L120" s="16"/>
      <c r="O120" s="43"/>
      <c r="P120" s="21"/>
      <c r="Q120" s="62"/>
      <c r="R120" s="16"/>
      <c r="S120" s="15"/>
      <c r="T120" s="61"/>
      <c r="U120" s="216"/>
      <c r="V120" s="216"/>
      <c r="W120" s="216"/>
      <c r="X120" s="216"/>
      <c r="Z120" s="47"/>
      <c r="AD120" s="227"/>
      <c r="AF120" s="47"/>
    </row>
    <row r="121" spans="1:41" ht="14" customHeight="1" x14ac:dyDescent="0.25">
      <c r="B121" s="5" t="s">
        <v>890</v>
      </c>
      <c r="D121" s="43"/>
      <c r="O121" s="271" t="s">
        <v>952</v>
      </c>
      <c r="T121" s="25" t="s">
        <v>891</v>
      </c>
      <c r="V121" s="227"/>
      <c r="AA121" s="43"/>
      <c r="AB121" s="15"/>
      <c r="AC121" s="44"/>
      <c r="AD121" s="15"/>
      <c r="AE121" s="15"/>
      <c r="AF121" s="15"/>
      <c r="AG121" s="43"/>
      <c r="AH121" s="15"/>
      <c r="AI121" s="44"/>
      <c r="AJ121" s="15"/>
      <c r="AK121" s="15"/>
      <c r="AL121" s="15"/>
      <c r="AM121" s="15"/>
      <c r="AN121" s="44"/>
      <c r="AO121" s="16"/>
    </row>
    <row r="122" spans="1:41" ht="14" customHeight="1" x14ac:dyDescent="0.25">
      <c r="B122" s="9" t="s">
        <v>334</v>
      </c>
      <c r="C122" s="9" t="s">
        <v>335</v>
      </c>
      <c r="D122" s="9" t="s">
        <v>336</v>
      </c>
      <c r="E122" s="9" t="s">
        <v>338</v>
      </c>
      <c r="F122" s="9"/>
      <c r="I122" s="9"/>
      <c r="J122" s="9"/>
      <c r="K122" s="9"/>
      <c r="L122" s="9"/>
      <c r="O122" s="9" t="s">
        <v>334</v>
      </c>
      <c r="P122" s="9" t="s">
        <v>335</v>
      </c>
      <c r="Q122" s="9" t="s">
        <v>336</v>
      </c>
      <c r="R122" s="9" t="s">
        <v>337</v>
      </c>
      <c r="S122" s="15"/>
      <c r="T122" s="9" t="s">
        <v>334</v>
      </c>
      <c r="U122" s="9" t="s">
        <v>335</v>
      </c>
      <c r="V122" s="9" t="s">
        <v>336</v>
      </c>
      <c r="W122" s="9" t="s">
        <v>337</v>
      </c>
      <c r="X122" s="43"/>
      <c r="Y122" s="15"/>
      <c r="Z122" s="44"/>
      <c r="AA122" s="15"/>
      <c r="AB122" s="15"/>
      <c r="AC122" s="15"/>
      <c r="AD122" s="43"/>
      <c r="AE122" s="15"/>
      <c r="AF122" s="44"/>
      <c r="AG122" s="15"/>
      <c r="AH122" s="15"/>
      <c r="AI122" s="15"/>
      <c r="AJ122" s="15"/>
      <c r="AK122" s="44"/>
      <c r="AL122" s="16"/>
    </row>
    <row r="123" spans="1:41" ht="14" customHeight="1" x14ac:dyDescent="0.25">
      <c r="B123" s="9">
        <v>1</v>
      </c>
      <c r="C123" s="280" t="s">
        <v>17</v>
      </c>
      <c r="D123" s="9">
        <v>20.91</v>
      </c>
      <c r="E123" s="45">
        <v>0.49790000000000001</v>
      </c>
      <c r="F123" s="9"/>
      <c r="I123" s="9"/>
      <c r="J123" s="9"/>
      <c r="K123" s="9"/>
      <c r="L123" s="45"/>
      <c r="O123" s="9">
        <v>1</v>
      </c>
      <c r="P123" s="280" t="s">
        <v>17</v>
      </c>
      <c r="Q123" s="9">
        <v>13.26</v>
      </c>
      <c r="R123" s="45">
        <v>0.40639999999999998</v>
      </c>
      <c r="S123" s="15"/>
      <c r="T123" s="9">
        <v>1</v>
      </c>
      <c r="U123" s="280" t="s">
        <v>874</v>
      </c>
      <c r="V123" s="9">
        <v>7.65</v>
      </c>
      <c r="W123" s="45">
        <v>0.81699999999999995</v>
      </c>
      <c r="X123" s="43"/>
      <c r="Y123" s="15"/>
      <c r="Z123" s="44"/>
      <c r="AA123" s="15"/>
      <c r="AB123" s="15"/>
      <c r="AC123" s="15"/>
      <c r="AD123" s="43"/>
      <c r="AE123" s="15"/>
      <c r="AF123" s="44"/>
      <c r="AG123" s="15"/>
      <c r="AH123" s="15"/>
      <c r="AI123" s="15"/>
      <c r="AJ123" s="15"/>
      <c r="AK123" s="44"/>
      <c r="AL123" s="16"/>
    </row>
    <row r="124" spans="1:41" ht="14" customHeight="1" x14ac:dyDescent="0.25">
      <c r="B124" s="9">
        <v>2</v>
      </c>
      <c r="C124" s="280" t="s">
        <v>15</v>
      </c>
      <c r="D124" s="9">
        <v>7.32</v>
      </c>
      <c r="E124" s="45">
        <v>0.17430000000000001</v>
      </c>
      <c r="F124" s="9"/>
      <c r="I124" s="9"/>
      <c r="J124" s="9"/>
      <c r="K124" s="9"/>
      <c r="L124" s="16"/>
      <c r="O124" s="9">
        <v>2</v>
      </c>
      <c r="P124" s="280" t="s">
        <v>15</v>
      </c>
      <c r="Q124" s="9">
        <v>7.32</v>
      </c>
      <c r="R124" s="45">
        <v>0.22439999999999999</v>
      </c>
      <c r="S124" s="15"/>
      <c r="T124" s="9">
        <v>2</v>
      </c>
      <c r="U124" s="280" t="s">
        <v>881</v>
      </c>
      <c r="V124" s="9">
        <v>0.71</v>
      </c>
      <c r="W124" s="45">
        <v>7.5300000000000006E-2</v>
      </c>
      <c r="X124" s="43"/>
      <c r="Y124" s="15"/>
      <c r="Z124" s="44"/>
      <c r="AA124" s="15"/>
      <c r="AB124" s="15"/>
      <c r="AC124" s="15"/>
      <c r="AD124" s="43"/>
      <c r="AE124" s="15"/>
      <c r="AF124" s="44"/>
      <c r="AG124" s="15"/>
      <c r="AH124" s="15"/>
      <c r="AI124" s="15"/>
      <c r="AJ124" s="15"/>
      <c r="AK124" s="44"/>
      <c r="AL124" s="16"/>
    </row>
    <row r="125" spans="1:41" ht="14" customHeight="1" x14ac:dyDescent="0.25">
      <c r="B125" s="9">
        <v>3</v>
      </c>
      <c r="C125" s="280" t="s">
        <v>951</v>
      </c>
      <c r="D125" s="9">
        <v>2.5499999999999998</v>
      </c>
      <c r="E125" s="45">
        <v>6.0600000000000001E-2</v>
      </c>
      <c r="F125" s="9"/>
      <c r="I125" s="9"/>
      <c r="J125" s="9"/>
      <c r="K125" s="9"/>
      <c r="L125" s="16"/>
      <c r="O125" s="9">
        <v>3</v>
      </c>
      <c r="P125" s="280" t="s">
        <v>22</v>
      </c>
      <c r="Q125" s="15">
        <v>2.5</v>
      </c>
      <c r="R125" s="16">
        <v>7.6600000000000001E-2</v>
      </c>
      <c r="S125" s="15"/>
      <c r="T125" s="9">
        <v>3</v>
      </c>
      <c r="U125" s="272" t="s">
        <v>876</v>
      </c>
      <c r="V125" s="9">
        <v>0.51</v>
      </c>
      <c r="W125" s="45">
        <v>5.4399999999999997E-2</v>
      </c>
      <c r="X125" s="43"/>
      <c r="Y125" s="15"/>
      <c r="Z125" s="44"/>
      <c r="AA125" s="15"/>
      <c r="AB125" s="15"/>
      <c r="AC125" s="15"/>
      <c r="AD125" s="43"/>
      <c r="AE125" s="15"/>
      <c r="AF125" s="44"/>
      <c r="AG125" s="15"/>
      <c r="AH125" s="15"/>
      <c r="AI125" s="15"/>
      <c r="AJ125" s="15"/>
      <c r="AK125" s="44"/>
      <c r="AL125" s="16"/>
    </row>
    <row r="126" spans="1:41" ht="14" customHeight="1" x14ac:dyDescent="0.25">
      <c r="B126" s="9">
        <v>4</v>
      </c>
      <c r="C126" s="280" t="s">
        <v>21</v>
      </c>
      <c r="D126" s="9">
        <v>2.2200000000000002</v>
      </c>
      <c r="E126" s="45">
        <v>5.28E-2</v>
      </c>
      <c r="F126" s="9"/>
      <c r="I126" s="9"/>
      <c r="J126" s="9"/>
      <c r="K126" s="9"/>
      <c r="L126" s="16"/>
      <c r="O126" s="9">
        <v>4</v>
      </c>
      <c r="P126" s="280" t="s">
        <v>32</v>
      </c>
      <c r="Q126" s="9">
        <v>1.97</v>
      </c>
      <c r="R126" s="45">
        <v>6.0299999999999999E-2</v>
      </c>
      <c r="S126" s="15"/>
      <c r="T126" s="9">
        <v>4</v>
      </c>
      <c r="U126" s="280" t="s">
        <v>933</v>
      </c>
      <c r="V126" s="9">
        <v>0.3</v>
      </c>
      <c r="W126" s="45">
        <v>3.15E-2</v>
      </c>
      <c r="X126" s="43"/>
      <c r="Y126" s="15"/>
      <c r="Z126" s="44"/>
      <c r="AA126" s="15"/>
      <c r="AB126" s="15"/>
      <c r="AC126" s="15"/>
      <c r="AD126" s="43"/>
      <c r="AE126" s="15"/>
      <c r="AF126" s="44"/>
      <c r="AG126" s="15"/>
      <c r="AH126" s="15"/>
      <c r="AI126" s="15"/>
      <c r="AJ126" s="15"/>
      <c r="AK126" s="44"/>
      <c r="AL126" s="16"/>
    </row>
    <row r="127" spans="1:41" ht="14" customHeight="1" x14ac:dyDescent="0.25">
      <c r="B127" s="9">
        <v>5</v>
      </c>
      <c r="C127" s="280" t="s">
        <v>32</v>
      </c>
      <c r="D127" s="15">
        <v>2.0699999999999998</v>
      </c>
      <c r="E127" s="45">
        <v>4.9200000000000001E-2</v>
      </c>
      <c r="F127" s="9"/>
      <c r="I127" s="9"/>
      <c r="J127" s="9"/>
      <c r="K127" s="9"/>
      <c r="L127" s="16"/>
      <c r="O127" s="9">
        <v>5</v>
      </c>
      <c r="P127" s="280" t="s">
        <v>21</v>
      </c>
      <c r="Q127" s="9">
        <v>1.71</v>
      </c>
      <c r="R127" s="45">
        <v>5.2400000000000002E-2</v>
      </c>
      <c r="S127" s="15"/>
      <c r="T127" s="9">
        <v>5</v>
      </c>
      <c r="U127" s="280" t="s">
        <v>880</v>
      </c>
      <c r="V127" s="9">
        <v>0.1</v>
      </c>
      <c r="W127" s="45">
        <v>1.09E-2</v>
      </c>
      <c r="X127" s="43"/>
      <c r="Y127" s="15"/>
      <c r="Z127" s="44"/>
      <c r="AA127" s="15"/>
      <c r="AB127" s="15"/>
      <c r="AC127" s="15"/>
      <c r="AD127" s="43"/>
      <c r="AE127" s="15"/>
      <c r="AF127" s="44"/>
      <c r="AG127" s="15"/>
      <c r="AH127" s="15"/>
      <c r="AI127" s="15"/>
      <c r="AJ127" s="15"/>
      <c r="AK127" s="44"/>
      <c r="AL127" s="16"/>
    </row>
    <row r="128" spans="1:41" ht="14" customHeight="1" x14ac:dyDescent="0.25">
      <c r="B128" s="9">
        <v>6</v>
      </c>
      <c r="C128" s="280" t="s">
        <v>897</v>
      </c>
      <c r="D128" s="15">
        <v>1.28</v>
      </c>
      <c r="E128" s="45">
        <v>3.0499999999999999E-2</v>
      </c>
      <c r="F128" s="9"/>
      <c r="I128" s="9"/>
      <c r="J128" s="9"/>
      <c r="K128" s="9"/>
      <c r="L128" s="16"/>
      <c r="O128" s="9">
        <v>6</v>
      </c>
      <c r="P128" s="280" t="s">
        <v>897</v>
      </c>
      <c r="Q128" s="9">
        <v>1.28</v>
      </c>
      <c r="R128" s="45">
        <v>3.9300000000000002E-2</v>
      </c>
      <c r="S128" s="15"/>
      <c r="T128" s="9">
        <v>6</v>
      </c>
      <c r="U128" s="280" t="s">
        <v>877</v>
      </c>
      <c r="V128" s="9">
        <v>0.04</v>
      </c>
      <c r="W128" s="45">
        <v>4.7999999999999996E-3</v>
      </c>
      <c r="X128" s="43"/>
      <c r="Y128" s="15"/>
      <c r="Z128" s="44"/>
      <c r="AA128" s="15"/>
      <c r="AB128" s="15"/>
      <c r="AC128" s="15"/>
      <c r="AD128" s="43"/>
      <c r="AE128" s="15"/>
      <c r="AF128" s="44"/>
      <c r="AG128" s="15"/>
      <c r="AH128" s="15"/>
      <c r="AI128" s="15"/>
      <c r="AJ128" s="15"/>
      <c r="AK128" s="44"/>
      <c r="AL128" s="16"/>
    </row>
    <row r="129" spans="2:41" ht="14" customHeight="1" x14ac:dyDescent="0.25">
      <c r="B129" s="9">
        <v>7</v>
      </c>
      <c r="C129" s="280" t="s">
        <v>898</v>
      </c>
      <c r="D129" s="15">
        <v>1.18</v>
      </c>
      <c r="E129" s="45">
        <v>2.81E-2</v>
      </c>
      <c r="F129" s="9"/>
      <c r="I129" s="9"/>
      <c r="J129" s="9"/>
      <c r="K129" s="9"/>
      <c r="L129" s="16"/>
      <c r="O129" s="9">
        <v>7</v>
      </c>
      <c r="P129" s="280" t="s">
        <v>898</v>
      </c>
      <c r="Q129" s="9">
        <v>1.1599999999999999</v>
      </c>
      <c r="R129" s="45">
        <v>3.5700000000000003E-2</v>
      </c>
      <c r="S129" s="15"/>
      <c r="T129" s="9">
        <v>7</v>
      </c>
      <c r="U129" s="280" t="s">
        <v>899</v>
      </c>
      <c r="V129" s="9">
        <v>0.03</v>
      </c>
      <c r="W129" s="45">
        <v>3.7000000000000002E-3</v>
      </c>
      <c r="X129" s="43"/>
      <c r="Y129" s="15"/>
      <c r="Z129" s="44"/>
      <c r="AA129" s="15"/>
      <c r="AB129" s="15"/>
      <c r="AC129" s="15"/>
      <c r="AD129" s="43"/>
      <c r="AE129" s="15"/>
      <c r="AF129" s="44"/>
      <c r="AG129" s="15"/>
      <c r="AH129" s="15"/>
      <c r="AI129" s="15"/>
      <c r="AJ129" s="15"/>
      <c r="AK129" s="44"/>
      <c r="AL129" s="16"/>
    </row>
    <row r="130" spans="2:41" ht="14" customHeight="1" x14ac:dyDescent="0.25">
      <c r="B130" s="9">
        <v>8</v>
      </c>
      <c r="C130" s="280" t="s">
        <v>881</v>
      </c>
      <c r="D130" s="15">
        <v>1.05</v>
      </c>
      <c r="E130" s="45">
        <v>2.5100000000000001E-2</v>
      </c>
      <c r="F130" s="9"/>
      <c r="I130" s="9"/>
      <c r="J130" s="9"/>
      <c r="K130" s="9"/>
      <c r="L130" s="45"/>
      <c r="O130" s="9">
        <v>8</v>
      </c>
      <c r="P130" s="280" t="s">
        <v>899</v>
      </c>
      <c r="Q130" s="9">
        <v>0.84</v>
      </c>
      <c r="R130" s="45">
        <v>2.5700000000000001E-2</v>
      </c>
      <c r="S130" s="15"/>
      <c r="T130" s="9">
        <v>8</v>
      </c>
      <c r="U130" s="280" t="s">
        <v>898</v>
      </c>
      <c r="V130" s="9">
        <v>0.02</v>
      </c>
      <c r="W130" s="45">
        <v>1.6000000000000001E-3</v>
      </c>
      <c r="X130" s="43"/>
      <c r="Y130" s="15"/>
      <c r="Z130" s="44"/>
      <c r="AA130" s="15"/>
      <c r="AB130" s="15"/>
      <c r="AC130" s="15"/>
      <c r="AD130" s="43"/>
      <c r="AE130" s="15"/>
      <c r="AF130" s="44"/>
      <c r="AG130" s="15"/>
      <c r="AH130" s="15"/>
      <c r="AI130" s="15"/>
      <c r="AJ130" s="15"/>
      <c r="AK130" s="44"/>
      <c r="AL130" s="16"/>
    </row>
    <row r="131" spans="2:41" ht="14" customHeight="1" x14ac:dyDescent="0.25">
      <c r="B131" s="9">
        <v>9</v>
      </c>
      <c r="C131" s="280" t="s">
        <v>899</v>
      </c>
      <c r="D131" s="15">
        <v>0.87</v>
      </c>
      <c r="E131" s="45">
        <v>2.0799999999999999E-2</v>
      </c>
      <c r="F131" s="9"/>
      <c r="I131" s="9"/>
      <c r="J131" s="9"/>
      <c r="K131" s="9"/>
      <c r="L131" s="45"/>
      <c r="O131" s="9">
        <v>9</v>
      </c>
      <c r="P131" s="280" t="s">
        <v>903</v>
      </c>
      <c r="Q131" s="9">
        <v>0.77</v>
      </c>
      <c r="R131" s="45">
        <v>2.35E-2</v>
      </c>
      <c r="S131" s="15"/>
      <c r="T131" s="9">
        <v>9</v>
      </c>
      <c r="U131" s="280" t="s">
        <v>900</v>
      </c>
      <c r="V131" s="9">
        <v>0.01</v>
      </c>
      <c r="W131" s="45">
        <v>8.9999999999999998E-4</v>
      </c>
      <c r="X131" s="43"/>
      <c r="Y131" s="15"/>
      <c r="Z131" s="44"/>
      <c r="AA131" s="15"/>
      <c r="AB131" s="15"/>
      <c r="AC131" s="15"/>
      <c r="AD131" s="43"/>
      <c r="AE131" s="15"/>
      <c r="AF131" s="44"/>
      <c r="AG131" s="15"/>
      <c r="AH131" s="15"/>
      <c r="AI131" s="15"/>
      <c r="AJ131" s="15"/>
      <c r="AK131" s="44"/>
      <c r="AL131" s="16"/>
    </row>
    <row r="132" spans="2:41" ht="14" customHeight="1" x14ac:dyDescent="0.25">
      <c r="B132" s="9">
        <v>10</v>
      </c>
      <c r="C132" s="280" t="s">
        <v>785</v>
      </c>
      <c r="D132" s="15">
        <v>0.77</v>
      </c>
      <c r="E132" s="45">
        <v>1.8200000000000001E-2</v>
      </c>
      <c r="F132" s="9"/>
      <c r="I132" s="9"/>
      <c r="J132" s="9"/>
      <c r="K132" s="9"/>
      <c r="L132" s="45"/>
      <c r="O132" s="9">
        <v>10</v>
      </c>
      <c r="P132" s="280" t="s">
        <v>892</v>
      </c>
      <c r="Q132" s="9">
        <v>0.38</v>
      </c>
      <c r="R132" s="45">
        <v>1.18E-2</v>
      </c>
      <c r="S132" s="15"/>
      <c r="T132" s="9">
        <v>10</v>
      </c>
      <c r="U132" s="280" t="s">
        <v>901</v>
      </c>
      <c r="V132" s="9">
        <v>0</v>
      </c>
      <c r="W132" s="45">
        <v>0</v>
      </c>
      <c r="X132" s="43"/>
      <c r="Y132" s="15"/>
      <c r="Z132" s="44"/>
      <c r="AA132" s="15"/>
      <c r="AB132" s="15"/>
      <c r="AC132" s="15"/>
      <c r="AD132" s="43"/>
      <c r="AE132" s="15"/>
      <c r="AF132" s="44"/>
      <c r="AG132" s="15"/>
      <c r="AH132" s="15"/>
      <c r="AI132" s="15"/>
      <c r="AJ132" s="15"/>
      <c r="AK132" s="44"/>
      <c r="AL132" s="16"/>
    </row>
    <row r="133" spans="2:41" ht="14" customHeight="1" x14ac:dyDescent="0.25">
      <c r="B133" s="9">
        <v>11</v>
      </c>
      <c r="C133" s="280" t="s">
        <v>892</v>
      </c>
      <c r="D133" s="15">
        <v>0.38</v>
      </c>
      <c r="E133" s="45">
        <v>9.1000000000000004E-3</v>
      </c>
      <c r="F133" s="9"/>
      <c r="I133" s="9"/>
      <c r="J133" s="9"/>
      <c r="K133" s="9"/>
      <c r="L133" s="45"/>
      <c r="O133" s="9">
        <v>11</v>
      </c>
      <c r="P133" s="280" t="s">
        <v>35</v>
      </c>
      <c r="Q133" s="9">
        <v>0.35</v>
      </c>
      <c r="R133" s="45">
        <v>1.06E-2</v>
      </c>
      <c r="S133" s="15"/>
      <c r="T133" s="9">
        <v>11</v>
      </c>
      <c r="U133" s="280" t="s">
        <v>902</v>
      </c>
      <c r="V133" s="9">
        <v>0</v>
      </c>
      <c r="W133" s="45">
        <v>0</v>
      </c>
      <c r="X133" s="43"/>
      <c r="Y133" s="15"/>
      <c r="Z133" s="44"/>
      <c r="AA133" s="15"/>
      <c r="AB133" s="15"/>
      <c r="AC133" s="15"/>
      <c r="AD133" s="43"/>
      <c r="AE133" s="15"/>
      <c r="AF133" s="44"/>
      <c r="AG133" s="15"/>
      <c r="AH133" s="15"/>
      <c r="AI133" s="15"/>
      <c r="AJ133" s="15"/>
      <c r="AK133" s="44"/>
      <c r="AL133" s="16"/>
    </row>
    <row r="134" spans="2:41" ht="14" customHeight="1" x14ac:dyDescent="0.25">
      <c r="B134" s="9">
        <v>12</v>
      </c>
      <c r="C134" s="280" t="s">
        <v>893</v>
      </c>
      <c r="D134" s="15">
        <v>0.31</v>
      </c>
      <c r="E134" s="45">
        <v>7.4000000000000003E-3</v>
      </c>
      <c r="F134" s="9"/>
      <c r="I134" s="9"/>
      <c r="J134" s="9"/>
      <c r="K134" s="9"/>
      <c r="L134" s="45"/>
      <c r="O134" s="15">
        <v>12</v>
      </c>
      <c r="P134" s="280" t="s">
        <v>893</v>
      </c>
      <c r="Q134" s="9">
        <v>0.31</v>
      </c>
      <c r="R134" s="45">
        <v>9.4999999999999998E-3</v>
      </c>
      <c r="S134" s="15"/>
      <c r="T134" s="9"/>
      <c r="U134" s="9"/>
      <c r="V134" s="9"/>
      <c r="W134" s="45"/>
      <c r="X134" s="43"/>
      <c r="Y134" s="15"/>
      <c r="Z134" s="44"/>
      <c r="AA134" s="15"/>
      <c r="AB134" s="15"/>
      <c r="AC134" s="15"/>
      <c r="AD134" s="43"/>
      <c r="AE134" s="15"/>
      <c r="AF134" s="44"/>
      <c r="AG134" s="15"/>
      <c r="AH134" s="15"/>
      <c r="AI134" s="15"/>
      <c r="AJ134" s="15"/>
      <c r="AK134" s="44"/>
      <c r="AL134" s="16"/>
    </row>
    <row r="135" spans="2:41" ht="14" customHeight="1" x14ac:dyDescent="0.25">
      <c r="B135" s="9">
        <v>13</v>
      </c>
      <c r="C135" s="280" t="s">
        <v>894</v>
      </c>
      <c r="D135" s="15">
        <v>0.3</v>
      </c>
      <c r="E135" s="45">
        <v>7.0000000000000001E-3</v>
      </c>
      <c r="F135" s="9"/>
      <c r="I135" s="9"/>
      <c r="J135" s="9"/>
      <c r="K135" s="9"/>
      <c r="L135" s="45"/>
      <c r="O135" s="15">
        <v>13</v>
      </c>
      <c r="P135" s="280" t="s">
        <v>900</v>
      </c>
      <c r="Q135" s="15">
        <v>0.23</v>
      </c>
      <c r="R135" s="16">
        <v>7.0000000000000001E-3</v>
      </c>
      <c r="S135" s="15"/>
      <c r="T135" s="9"/>
      <c r="U135" s="9"/>
      <c r="V135" s="9"/>
      <c r="W135" s="45"/>
      <c r="X135" s="43"/>
      <c r="Y135" s="15"/>
      <c r="Z135" s="44"/>
      <c r="AA135" s="15"/>
      <c r="AB135" s="15"/>
      <c r="AC135" s="15"/>
      <c r="AD135" s="43"/>
      <c r="AE135" s="15"/>
      <c r="AF135" s="44"/>
      <c r="AG135" s="15"/>
      <c r="AH135" s="15"/>
      <c r="AI135" s="15"/>
      <c r="AJ135" s="15"/>
      <c r="AK135" s="44"/>
      <c r="AL135" s="16"/>
    </row>
    <row r="136" spans="2:41" ht="14" customHeight="1" x14ac:dyDescent="0.25">
      <c r="B136" s="9">
        <v>14</v>
      </c>
      <c r="C136" s="280" t="s">
        <v>895</v>
      </c>
      <c r="D136" s="15">
        <v>0.24</v>
      </c>
      <c r="E136" s="45">
        <v>5.5999999999999999E-3</v>
      </c>
      <c r="F136" s="9"/>
      <c r="I136" s="9"/>
      <c r="J136" s="9"/>
      <c r="L136" s="45"/>
      <c r="O136" s="15">
        <v>14</v>
      </c>
      <c r="P136" s="280" t="s">
        <v>904</v>
      </c>
      <c r="Q136" s="15">
        <v>0.18</v>
      </c>
      <c r="R136" s="16">
        <v>5.4999999999999997E-3</v>
      </c>
      <c r="S136" s="15"/>
      <c r="T136" s="9"/>
      <c r="U136" s="9"/>
      <c r="V136" s="9"/>
      <c r="W136" s="45"/>
      <c r="X136" s="43"/>
      <c r="Y136" s="15"/>
      <c r="Z136" s="44"/>
      <c r="AA136" s="15"/>
      <c r="AB136" s="15"/>
      <c r="AC136" s="15"/>
      <c r="AD136" s="43"/>
      <c r="AE136" s="15"/>
      <c r="AF136" s="44"/>
      <c r="AG136" s="15"/>
      <c r="AH136" s="15"/>
      <c r="AI136" s="15"/>
      <c r="AJ136" s="15"/>
      <c r="AK136" s="44"/>
      <c r="AL136" s="16"/>
    </row>
    <row r="137" spans="2:41" ht="14" customHeight="1" x14ac:dyDescent="0.25">
      <c r="B137" s="9">
        <v>15</v>
      </c>
      <c r="C137" s="280" t="s">
        <v>896</v>
      </c>
      <c r="D137" s="15">
        <v>0.18</v>
      </c>
      <c r="E137" s="45">
        <v>4.3E-3</v>
      </c>
      <c r="F137" s="9"/>
      <c r="I137" s="9"/>
      <c r="J137" s="9"/>
      <c r="K137" s="9"/>
      <c r="L137" s="45"/>
      <c r="O137" s="15">
        <v>15</v>
      </c>
      <c r="P137" s="280" t="s">
        <v>902</v>
      </c>
      <c r="Q137" s="15">
        <v>0.1</v>
      </c>
      <c r="R137" s="16">
        <v>2.8999999999999998E-3</v>
      </c>
      <c r="S137" s="15"/>
      <c r="T137" s="9"/>
      <c r="U137" s="9"/>
      <c r="V137" s="9"/>
      <c r="W137" s="45"/>
      <c r="X137" s="43"/>
      <c r="Y137" s="15"/>
      <c r="Z137" s="44"/>
      <c r="AA137" s="15"/>
      <c r="AB137" s="15"/>
      <c r="AC137" s="15"/>
      <c r="AD137" s="43"/>
      <c r="AE137" s="15"/>
      <c r="AF137" s="44"/>
      <c r="AG137" s="15"/>
      <c r="AH137" s="15"/>
      <c r="AI137" s="15"/>
      <c r="AJ137" s="15"/>
      <c r="AK137" s="44"/>
      <c r="AL137" s="16"/>
    </row>
    <row r="138" spans="2:41" ht="14" customHeight="1" x14ac:dyDescent="0.25">
      <c r="B138" s="9"/>
      <c r="C138" s="9"/>
      <c r="D138" s="9"/>
      <c r="E138" s="45"/>
      <c r="F138" s="9"/>
      <c r="I138" s="9"/>
      <c r="J138" s="9"/>
      <c r="K138" s="9"/>
      <c r="L138" s="45"/>
      <c r="O138" s="43"/>
      <c r="P138" s="15"/>
      <c r="Q138" s="15"/>
      <c r="R138" s="16"/>
      <c r="S138" s="15"/>
      <c r="T138" s="9"/>
      <c r="U138" s="9"/>
      <c r="V138" s="9"/>
      <c r="W138" s="45"/>
      <c r="X138" s="43"/>
      <c r="Y138" s="15"/>
      <c r="Z138" s="44"/>
      <c r="AA138" s="15"/>
      <c r="AB138" s="15"/>
      <c r="AC138" s="15"/>
      <c r="AD138" s="43"/>
      <c r="AE138" s="15"/>
      <c r="AF138" s="44"/>
      <c r="AG138" s="15"/>
      <c r="AH138" s="15"/>
      <c r="AI138" s="15"/>
      <c r="AJ138" s="15"/>
      <c r="AK138" s="44"/>
      <c r="AL138" s="16"/>
    </row>
    <row r="139" spans="2:41" ht="14" customHeight="1" x14ac:dyDescent="0.25">
      <c r="B139" s="15" t="s">
        <v>330</v>
      </c>
      <c r="D139" s="43"/>
      <c r="I139" s="15" t="s">
        <v>331</v>
      </c>
      <c r="O139" s="25" t="s">
        <v>332</v>
      </c>
      <c r="T139" s="25" t="s">
        <v>333</v>
      </c>
      <c r="V139" s="227"/>
      <c r="AA139" s="43"/>
      <c r="AB139" s="15"/>
      <c r="AC139" s="44"/>
      <c r="AD139" s="15"/>
      <c r="AE139" s="15"/>
      <c r="AF139" s="15"/>
      <c r="AG139" s="43"/>
      <c r="AH139" s="15"/>
      <c r="AI139" s="44"/>
      <c r="AJ139" s="15"/>
      <c r="AK139" s="15"/>
      <c r="AL139" s="15"/>
      <c r="AM139" s="15"/>
      <c r="AN139" s="44"/>
      <c r="AO139" s="16"/>
    </row>
    <row r="140" spans="2:41" ht="14" customHeight="1" x14ac:dyDescent="0.25">
      <c r="B140" s="9" t="s">
        <v>334</v>
      </c>
      <c r="C140" s="9" t="s">
        <v>335</v>
      </c>
      <c r="D140" s="9" t="s">
        <v>336</v>
      </c>
      <c r="E140" s="9" t="s">
        <v>338</v>
      </c>
      <c r="F140" s="9"/>
      <c r="I140" s="9" t="s">
        <v>334</v>
      </c>
      <c r="J140" s="9" t="s">
        <v>335</v>
      </c>
      <c r="K140" s="9" t="s">
        <v>336</v>
      </c>
      <c r="L140" s="9" t="s">
        <v>338</v>
      </c>
      <c r="O140" s="9" t="s">
        <v>334</v>
      </c>
      <c r="P140" s="9" t="s">
        <v>335</v>
      </c>
      <c r="Q140" s="9" t="s">
        <v>336</v>
      </c>
      <c r="R140" s="9" t="s">
        <v>337</v>
      </c>
      <c r="S140" s="15"/>
      <c r="T140" s="9" t="s">
        <v>334</v>
      </c>
      <c r="U140" s="9" t="s">
        <v>335</v>
      </c>
      <c r="V140" s="9" t="s">
        <v>336</v>
      </c>
      <c r="W140" s="9" t="s">
        <v>337</v>
      </c>
      <c r="X140" s="43"/>
      <c r="Y140" s="15"/>
      <c r="Z140" s="44"/>
      <c r="AA140" s="15"/>
      <c r="AB140" s="15"/>
      <c r="AC140" s="15"/>
      <c r="AD140" s="43"/>
      <c r="AE140" s="15"/>
      <c r="AF140" s="44"/>
      <c r="AG140" s="15"/>
      <c r="AH140" s="15"/>
      <c r="AI140" s="15"/>
      <c r="AJ140" s="15"/>
      <c r="AK140" s="44"/>
      <c r="AL140" s="16"/>
    </row>
    <row r="141" spans="2:41" ht="14" customHeight="1" x14ac:dyDescent="0.25">
      <c r="B141" s="9">
        <v>1</v>
      </c>
      <c r="C141" s="9" t="s">
        <v>68</v>
      </c>
      <c r="D141" s="9">
        <v>45.71</v>
      </c>
      <c r="E141" s="45">
        <v>0.46660000000000001</v>
      </c>
      <c r="F141" s="9"/>
      <c r="I141" s="9">
        <v>1</v>
      </c>
      <c r="J141" s="9" t="s">
        <v>68</v>
      </c>
      <c r="K141" s="9">
        <v>333.57</v>
      </c>
      <c r="L141" s="45">
        <v>0.43419999999999997</v>
      </c>
      <c r="O141" s="9">
        <v>1</v>
      </c>
      <c r="P141" s="9" t="s">
        <v>68</v>
      </c>
      <c r="Q141" s="9">
        <v>32.880000000000003</v>
      </c>
      <c r="R141" s="45">
        <v>0.41249999999999998</v>
      </c>
      <c r="S141" s="15"/>
      <c r="T141" s="9">
        <v>1</v>
      </c>
      <c r="U141" s="9" t="s">
        <v>68</v>
      </c>
      <c r="V141" s="9">
        <v>12.83</v>
      </c>
      <c r="W141" s="45">
        <v>0.70409999999999995</v>
      </c>
      <c r="X141" s="43"/>
      <c r="Y141" s="15"/>
      <c r="Z141" s="44"/>
      <c r="AA141" s="15"/>
      <c r="AB141" s="15"/>
      <c r="AC141" s="15"/>
      <c r="AD141" s="43"/>
      <c r="AE141" s="15"/>
      <c r="AF141" s="44"/>
      <c r="AG141" s="15"/>
      <c r="AH141" s="15"/>
      <c r="AI141" s="15"/>
      <c r="AJ141" s="15"/>
      <c r="AK141" s="44"/>
      <c r="AL141" s="16"/>
    </row>
    <row r="142" spans="2:41" ht="14" customHeight="1" x14ac:dyDescent="0.25">
      <c r="B142" s="9">
        <v>2</v>
      </c>
      <c r="C142" s="9" t="s">
        <v>69</v>
      </c>
      <c r="D142" s="9">
        <v>17.63</v>
      </c>
      <c r="E142" s="45">
        <v>0.1799</v>
      </c>
      <c r="F142" s="9"/>
      <c r="I142" s="9">
        <v>2</v>
      </c>
      <c r="J142" s="9" t="s">
        <v>69</v>
      </c>
      <c r="K142" s="9">
        <v>165.77</v>
      </c>
      <c r="L142" s="16">
        <v>0.21579999999999999</v>
      </c>
      <c r="O142" s="9">
        <v>2</v>
      </c>
      <c r="P142" s="9" t="s">
        <v>69</v>
      </c>
      <c r="Q142" s="9">
        <v>17.63</v>
      </c>
      <c r="R142" s="45">
        <v>0.22109999999999999</v>
      </c>
      <c r="S142" s="15"/>
      <c r="T142" s="9">
        <v>2</v>
      </c>
      <c r="U142" s="9" t="s">
        <v>127</v>
      </c>
      <c r="V142" s="9">
        <v>3.07</v>
      </c>
      <c r="W142" s="45">
        <v>0.1686</v>
      </c>
      <c r="X142" s="43"/>
      <c r="Y142" s="15"/>
      <c r="Z142" s="44"/>
      <c r="AA142" s="15"/>
      <c r="AB142" s="15"/>
      <c r="AC142" s="15"/>
      <c r="AD142" s="43"/>
      <c r="AE142" s="15"/>
      <c r="AF142" s="44"/>
      <c r="AG142" s="15"/>
      <c r="AH142" s="15"/>
      <c r="AI142" s="15"/>
      <c r="AJ142" s="15"/>
      <c r="AK142" s="44"/>
      <c r="AL142" s="16"/>
    </row>
    <row r="143" spans="2:41" ht="14" customHeight="1" x14ac:dyDescent="0.25">
      <c r="B143" s="9">
        <v>3</v>
      </c>
      <c r="C143" s="9" t="s">
        <v>71</v>
      </c>
      <c r="D143" s="9">
        <v>7</v>
      </c>
      <c r="E143" s="45">
        <v>7.1499999999999994E-2</v>
      </c>
      <c r="F143" s="9"/>
      <c r="I143" s="9">
        <v>3</v>
      </c>
      <c r="J143" s="9" t="s">
        <v>71</v>
      </c>
      <c r="K143" s="9">
        <v>53.61</v>
      </c>
      <c r="L143" s="16">
        <v>6.9800000000000001E-2</v>
      </c>
      <c r="O143" s="9">
        <v>3</v>
      </c>
      <c r="P143" s="9" t="s">
        <v>71</v>
      </c>
      <c r="Q143" s="15">
        <v>6.36</v>
      </c>
      <c r="R143" s="228">
        <v>7.9799999999999996E-2</v>
      </c>
      <c r="S143" s="15"/>
      <c r="T143" s="9">
        <v>3</v>
      </c>
      <c r="U143" s="9" t="s">
        <v>74</v>
      </c>
      <c r="V143" s="9">
        <v>1.32</v>
      </c>
      <c r="W143" s="45">
        <v>7.2400000000000006E-2</v>
      </c>
      <c r="X143" s="43"/>
      <c r="Y143" s="15"/>
      <c r="Z143" s="44"/>
      <c r="AA143" s="15"/>
      <c r="AB143" s="15"/>
      <c r="AC143" s="15"/>
      <c r="AD143" s="43"/>
      <c r="AE143" s="15"/>
      <c r="AF143" s="44"/>
      <c r="AG143" s="15"/>
      <c r="AH143" s="15"/>
      <c r="AI143" s="15"/>
      <c r="AJ143" s="15"/>
      <c r="AK143" s="44"/>
      <c r="AL143" s="16"/>
    </row>
    <row r="144" spans="2:41" ht="14" customHeight="1" x14ac:dyDescent="0.25">
      <c r="B144" s="9">
        <v>4</v>
      </c>
      <c r="C144" s="9" t="s">
        <v>70</v>
      </c>
      <c r="D144" s="9">
        <v>5.7</v>
      </c>
      <c r="E144" s="45">
        <v>5.8099999999999999E-2</v>
      </c>
      <c r="F144" s="9"/>
      <c r="I144" s="9">
        <v>4</v>
      </c>
      <c r="J144" s="9" t="s">
        <v>70</v>
      </c>
      <c r="K144" s="9">
        <v>43.44</v>
      </c>
      <c r="L144" s="16">
        <v>5.6500000000000002E-2</v>
      </c>
      <c r="O144" s="9">
        <v>4</v>
      </c>
      <c r="P144" s="9" t="s">
        <v>70</v>
      </c>
      <c r="Q144" s="9">
        <v>5.65</v>
      </c>
      <c r="R144" s="45">
        <v>7.0800000000000002E-2</v>
      </c>
      <c r="S144" s="15"/>
      <c r="T144" s="9">
        <v>4</v>
      </c>
      <c r="U144" s="9" t="s">
        <v>71</v>
      </c>
      <c r="V144" s="9">
        <v>0.64</v>
      </c>
      <c r="W144" s="45">
        <v>3.5200000000000002E-2</v>
      </c>
      <c r="X144" s="43"/>
      <c r="Y144" s="15"/>
      <c r="Z144" s="44"/>
      <c r="AA144" s="15"/>
      <c r="AB144" s="15"/>
      <c r="AC144" s="15"/>
      <c r="AD144" s="43"/>
      <c r="AE144" s="15"/>
      <c r="AF144" s="44"/>
      <c r="AG144" s="15"/>
      <c r="AH144" s="15"/>
      <c r="AI144" s="15"/>
      <c r="AJ144" s="15"/>
      <c r="AK144" s="44"/>
      <c r="AL144" s="16"/>
    </row>
    <row r="145" spans="2:41" ht="14" customHeight="1" x14ac:dyDescent="0.25">
      <c r="B145" s="9">
        <v>5</v>
      </c>
      <c r="C145" s="9" t="s">
        <v>73</v>
      </c>
      <c r="D145" s="15">
        <v>4.33</v>
      </c>
      <c r="E145" s="45">
        <v>4.4200000000000003E-2</v>
      </c>
      <c r="F145" s="9"/>
      <c r="I145" s="9">
        <v>5</v>
      </c>
      <c r="J145" s="9" t="s">
        <v>73</v>
      </c>
      <c r="K145" s="9">
        <v>31.61</v>
      </c>
      <c r="L145" s="16">
        <v>4.1099999999999998E-2</v>
      </c>
      <c r="O145" s="9">
        <v>5</v>
      </c>
      <c r="P145" s="9" t="s">
        <v>73</v>
      </c>
      <c r="Q145" s="9">
        <v>4.33</v>
      </c>
      <c r="R145" s="45">
        <v>5.4300000000000001E-2</v>
      </c>
      <c r="S145" s="15"/>
      <c r="T145" s="9">
        <v>5</v>
      </c>
      <c r="U145" s="9" t="s">
        <v>129</v>
      </c>
      <c r="V145" s="9">
        <v>0.11</v>
      </c>
      <c r="W145" s="45" t="s">
        <v>320</v>
      </c>
      <c r="X145" s="43"/>
      <c r="Y145" s="15"/>
      <c r="Z145" s="44"/>
      <c r="AA145" s="15"/>
      <c r="AB145" s="15"/>
      <c r="AC145" s="15"/>
      <c r="AD145" s="43"/>
      <c r="AE145" s="15"/>
      <c r="AF145" s="44"/>
      <c r="AG145" s="15"/>
      <c r="AH145" s="15"/>
      <c r="AI145" s="15"/>
      <c r="AJ145" s="15"/>
      <c r="AK145" s="44"/>
      <c r="AL145" s="16"/>
    </row>
    <row r="146" spans="2:41" ht="14" customHeight="1" x14ac:dyDescent="0.25">
      <c r="B146" s="9">
        <v>6</v>
      </c>
      <c r="C146" s="9" t="s">
        <v>127</v>
      </c>
      <c r="D146" s="15">
        <v>3.07</v>
      </c>
      <c r="E146" s="45">
        <v>3.1300000000000001E-2</v>
      </c>
      <c r="F146" s="9"/>
      <c r="I146" s="9">
        <v>6</v>
      </c>
      <c r="J146" s="9" t="s">
        <v>129</v>
      </c>
      <c r="K146" s="9">
        <v>24.35</v>
      </c>
      <c r="L146" s="16">
        <v>3.1699999999999999E-2</v>
      </c>
      <c r="O146" s="9">
        <v>6</v>
      </c>
      <c r="P146" s="9" t="s">
        <v>322</v>
      </c>
      <c r="Q146" s="9">
        <v>2.87</v>
      </c>
      <c r="R146" s="45">
        <v>3.5900000000000001E-2</v>
      </c>
      <c r="S146" s="15"/>
      <c r="T146" s="9">
        <v>6</v>
      </c>
      <c r="U146" s="9" t="s">
        <v>323</v>
      </c>
      <c r="V146" s="9">
        <v>0.1</v>
      </c>
      <c r="W146" s="45">
        <v>5.3E-3</v>
      </c>
      <c r="X146" s="43"/>
      <c r="Y146" s="15"/>
      <c r="Z146" s="44"/>
      <c r="AA146" s="15"/>
      <c r="AB146" s="15"/>
      <c r="AC146" s="15"/>
      <c r="AD146" s="43"/>
      <c r="AE146" s="15"/>
      <c r="AF146" s="44"/>
      <c r="AG146" s="15"/>
      <c r="AH146" s="15"/>
      <c r="AI146" s="15"/>
      <c r="AJ146" s="15"/>
      <c r="AK146" s="44"/>
      <c r="AL146" s="16"/>
    </row>
    <row r="147" spans="2:41" ht="14" customHeight="1" x14ac:dyDescent="0.25">
      <c r="B147" s="9">
        <v>7</v>
      </c>
      <c r="C147" s="9" t="s">
        <v>322</v>
      </c>
      <c r="D147" s="15">
        <v>2.87</v>
      </c>
      <c r="E147" s="45">
        <v>2.92E-2</v>
      </c>
      <c r="F147" s="9"/>
      <c r="I147" s="9">
        <v>7</v>
      </c>
      <c r="J147" s="9" t="s">
        <v>74</v>
      </c>
      <c r="K147" s="9">
        <v>20.71</v>
      </c>
      <c r="L147" s="16">
        <v>2.7E-2</v>
      </c>
      <c r="O147" s="9">
        <v>7</v>
      </c>
      <c r="P147" s="9" t="s">
        <v>129</v>
      </c>
      <c r="Q147" s="9">
        <v>2.4500000000000002</v>
      </c>
      <c r="R147" s="45">
        <v>3.0700000000000002E-2</v>
      </c>
      <c r="S147" s="15"/>
      <c r="T147" s="9">
        <v>7</v>
      </c>
      <c r="U147" s="9" t="s">
        <v>339</v>
      </c>
      <c r="V147" s="9">
        <v>7.0000000000000007E-2</v>
      </c>
      <c r="W147" s="45">
        <v>4.0000000000000001E-3</v>
      </c>
      <c r="X147" s="43"/>
      <c r="Y147" s="15"/>
      <c r="Z147" s="44"/>
      <c r="AA147" s="15"/>
      <c r="AB147" s="15"/>
      <c r="AC147" s="15"/>
      <c r="AD147" s="43"/>
      <c r="AE147" s="15"/>
      <c r="AF147" s="44"/>
      <c r="AG147" s="15"/>
      <c r="AH147" s="15"/>
      <c r="AI147" s="15"/>
      <c r="AJ147" s="15"/>
      <c r="AK147" s="44"/>
      <c r="AL147" s="16"/>
    </row>
    <row r="148" spans="2:41" ht="14" customHeight="1" x14ac:dyDescent="0.25">
      <c r="B148" s="9">
        <v>8</v>
      </c>
      <c r="C148" s="9" t="s">
        <v>340</v>
      </c>
      <c r="D148" s="15">
        <v>2.56</v>
      </c>
      <c r="E148" s="45">
        <v>2.6100000000000002E-2</v>
      </c>
      <c r="F148" s="9"/>
      <c r="I148" s="9">
        <v>8</v>
      </c>
      <c r="J148" s="9" t="s">
        <v>322</v>
      </c>
      <c r="K148" s="9">
        <v>19.5</v>
      </c>
      <c r="L148" s="45">
        <v>2.5399999999999999E-2</v>
      </c>
      <c r="O148" s="9">
        <v>8</v>
      </c>
      <c r="P148" s="9" t="s">
        <v>327</v>
      </c>
      <c r="Q148" s="9">
        <v>1.79</v>
      </c>
      <c r="R148" s="45">
        <v>2.2499999999999999E-2</v>
      </c>
      <c r="S148" s="15"/>
      <c r="T148" s="9">
        <v>8</v>
      </c>
      <c r="U148" s="9" t="s">
        <v>70</v>
      </c>
      <c r="V148" s="9">
        <v>0.05</v>
      </c>
      <c r="W148" s="45">
        <v>2.7000000000000001E-3</v>
      </c>
      <c r="X148" s="43"/>
      <c r="Y148" s="15"/>
      <c r="Z148" s="44"/>
      <c r="AA148" s="15"/>
      <c r="AB148" s="15"/>
      <c r="AC148" s="15"/>
      <c r="AD148" s="43"/>
      <c r="AE148" s="15"/>
      <c r="AF148" s="44"/>
      <c r="AG148" s="15"/>
      <c r="AH148" s="15"/>
      <c r="AI148" s="15"/>
      <c r="AJ148" s="15"/>
      <c r="AK148" s="44"/>
      <c r="AL148" s="16"/>
    </row>
    <row r="149" spans="2:41" ht="14" customHeight="1" x14ac:dyDescent="0.25">
      <c r="B149" s="9">
        <v>9</v>
      </c>
      <c r="C149" s="9" t="s">
        <v>341</v>
      </c>
      <c r="D149" s="15">
        <v>1.97</v>
      </c>
      <c r="E149" s="45">
        <v>2.01E-2</v>
      </c>
      <c r="F149" s="9"/>
      <c r="I149" s="9">
        <v>9</v>
      </c>
      <c r="J149" s="9" t="s">
        <v>323</v>
      </c>
      <c r="K149" s="9">
        <v>15.93</v>
      </c>
      <c r="L149" s="45">
        <v>2.07E-2</v>
      </c>
      <c r="O149" s="9">
        <v>9</v>
      </c>
      <c r="P149" s="9" t="s">
        <v>323</v>
      </c>
      <c r="Q149" s="9">
        <v>1.06</v>
      </c>
      <c r="R149" s="45">
        <v>1.3299999999999999E-2</v>
      </c>
      <c r="S149" s="15"/>
      <c r="T149" s="9">
        <v>9</v>
      </c>
      <c r="U149" s="9" t="s">
        <v>342</v>
      </c>
      <c r="V149" s="9">
        <v>0.01</v>
      </c>
      <c r="W149" s="45">
        <v>6.9999999999999999E-4</v>
      </c>
      <c r="X149" s="43"/>
      <c r="Y149" s="15"/>
      <c r="Z149" s="44"/>
      <c r="AA149" s="15"/>
      <c r="AB149" s="15"/>
      <c r="AC149" s="15"/>
      <c r="AD149" s="43"/>
      <c r="AE149" s="15"/>
      <c r="AF149" s="44"/>
      <c r="AG149" s="15"/>
      <c r="AH149" s="15"/>
      <c r="AI149" s="15"/>
      <c r="AJ149" s="15"/>
      <c r="AK149" s="44"/>
      <c r="AL149" s="16"/>
    </row>
    <row r="150" spans="2:41" ht="14" customHeight="1" x14ac:dyDescent="0.25">
      <c r="B150" s="9">
        <v>10</v>
      </c>
      <c r="C150" s="9" t="s">
        <v>327</v>
      </c>
      <c r="D150" s="15">
        <v>1.79</v>
      </c>
      <c r="E150" s="45">
        <v>1.83E-2</v>
      </c>
      <c r="F150" s="9"/>
      <c r="I150" s="9">
        <v>10</v>
      </c>
      <c r="J150" s="9" t="s">
        <v>327</v>
      </c>
      <c r="K150" s="9">
        <v>15.08</v>
      </c>
      <c r="L150" s="45">
        <v>1.9599999999999999E-2</v>
      </c>
      <c r="O150" s="9">
        <v>10</v>
      </c>
      <c r="P150" s="9" t="s">
        <v>343</v>
      </c>
      <c r="Q150" s="9">
        <v>0.81</v>
      </c>
      <c r="R150" s="45">
        <v>1.01E-2</v>
      </c>
      <c r="S150" s="15"/>
      <c r="T150" s="9">
        <v>10</v>
      </c>
      <c r="U150" s="9" t="s">
        <v>25</v>
      </c>
      <c r="V150" s="9">
        <v>0.01</v>
      </c>
      <c r="W150" s="45">
        <v>5.0000000000000001E-4</v>
      </c>
      <c r="X150" s="43"/>
      <c r="Y150" s="15"/>
      <c r="Z150" s="44"/>
      <c r="AA150" s="15"/>
      <c r="AB150" s="15"/>
      <c r="AC150" s="15"/>
      <c r="AD150" s="43"/>
      <c r="AE150" s="15"/>
      <c r="AF150" s="44"/>
      <c r="AG150" s="15"/>
      <c r="AH150" s="15"/>
      <c r="AI150" s="15"/>
      <c r="AJ150" s="15"/>
      <c r="AK150" s="44"/>
      <c r="AL150" s="16"/>
    </row>
    <row r="151" spans="2:41" ht="14" customHeight="1" x14ac:dyDescent="0.25">
      <c r="B151" s="9">
        <v>11</v>
      </c>
      <c r="C151" s="9" t="s">
        <v>344</v>
      </c>
      <c r="D151" s="15">
        <v>1.1599999999999999</v>
      </c>
      <c r="E151" s="45">
        <v>1.18E-2</v>
      </c>
      <c r="F151" s="9"/>
      <c r="I151" s="9">
        <v>11</v>
      </c>
      <c r="J151" s="9" t="s">
        <v>127</v>
      </c>
      <c r="K151" s="9">
        <v>13.75</v>
      </c>
      <c r="L151" s="45">
        <v>1.7899999999999999E-2</v>
      </c>
      <c r="O151" s="9">
        <v>11</v>
      </c>
      <c r="P151" s="9" t="s">
        <v>325</v>
      </c>
      <c r="Q151" s="9">
        <v>0.69</v>
      </c>
      <c r="R151" s="45">
        <v>8.6E-3</v>
      </c>
      <c r="S151" s="15"/>
      <c r="T151" s="9">
        <v>11</v>
      </c>
      <c r="U151" s="9" t="s">
        <v>73</v>
      </c>
      <c r="V151" s="9">
        <v>0.01</v>
      </c>
      <c r="W151" s="45">
        <v>2.9999999999999997E-4</v>
      </c>
      <c r="X151" s="43"/>
      <c r="Y151" s="15"/>
      <c r="Z151" s="44"/>
      <c r="AA151" s="15"/>
      <c r="AB151" s="15"/>
      <c r="AC151" s="15"/>
      <c r="AD151" s="43"/>
      <c r="AE151" s="15"/>
      <c r="AF151" s="44"/>
      <c r="AG151" s="15"/>
      <c r="AH151" s="15"/>
      <c r="AI151" s="15"/>
      <c r="AJ151" s="15"/>
      <c r="AK151" s="44"/>
      <c r="AL151" s="16"/>
    </row>
    <row r="152" spans="2:41" ht="14" customHeight="1" x14ac:dyDescent="0.25">
      <c r="B152" s="9">
        <v>12</v>
      </c>
      <c r="C152" s="9" t="s">
        <v>345</v>
      </c>
      <c r="D152" s="15">
        <v>0.81</v>
      </c>
      <c r="E152" s="45">
        <v>8.2000000000000007E-3</v>
      </c>
      <c r="F152" s="9"/>
      <c r="I152" s="9">
        <v>12</v>
      </c>
      <c r="J152" s="9" t="s">
        <v>325</v>
      </c>
      <c r="K152" s="9">
        <v>6.29</v>
      </c>
      <c r="L152" s="45">
        <v>8.2000000000000007E-3</v>
      </c>
      <c r="O152" s="15">
        <v>12</v>
      </c>
      <c r="P152" s="9" t="s">
        <v>339</v>
      </c>
      <c r="Q152" s="9">
        <v>0.66</v>
      </c>
      <c r="R152" s="45">
        <v>8.3000000000000001E-3</v>
      </c>
      <c r="S152" s="15"/>
      <c r="T152" s="9">
        <v>12</v>
      </c>
      <c r="U152" s="9" t="s">
        <v>346</v>
      </c>
      <c r="V152" s="9">
        <v>5.0000000000000001E-3</v>
      </c>
      <c r="W152" s="45">
        <v>2.9999999999999997E-4</v>
      </c>
      <c r="X152" s="43"/>
      <c r="Y152" s="15"/>
      <c r="Z152" s="44"/>
      <c r="AA152" s="15"/>
      <c r="AB152" s="15"/>
      <c r="AC152" s="15"/>
      <c r="AD152" s="43"/>
      <c r="AE152" s="15"/>
      <c r="AF152" s="44"/>
      <c r="AG152" s="15"/>
      <c r="AH152" s="15"/>
      <c r="AI152" s="15"/>
      <c r="AJ152" s="15"/>
      <c r="AK152" s="44"/>
      <c r="AL152" s="16"/>
    </row>
    <row r="153" spans="2:41" ht="14" customHeight="1" x14ac:dyDescent="0.25">
      <c r="B153" s="9">
        <v>13</v>
      </c>
      <c r="C153" s="9" t="s">
        <v>347</v>
      </c>
      <c r="D153" s="15">
        <v>0.73</v>
      </c>
      <c r="E153" s="45">
        <v>7.4999999999999997E-3</v>
      </c>
      <c r="F153" s="9"/>
      <c r="I153" s="9">
        <v>13</v>
      </c>
      <c r="J153" s="9" t="s">
        <v>348</v>
      </c>
      <c r="K153" s="9">
        <v>5.39</v>
      </c>
      <c r="L153" s="45">
        <v>7.0000000000000001E-3</v>
      </c>
      <c r="O153" s="15">
        <v>13</v>
      </c>
      <c r="P153" s="15" t="s">
        <v>104</v>
      </c>
      <c r="Q153" s="15">
        <v>0.65</v>
      </c>
      <c r="R153" s="16">
        <v>8.0999999999999996E-3</v>
      </c>
      <c r="S153" s="15"/>
      <c r="T153" s="9">
        <v>13</v>
      </c>
      <c r="U153" s="9" t="s">
        <v>326</v>
      </c>
      <c r="V153" s="9">
        <v>0</v>
      </c>
      <c r="W153" s="45">
        <v>0</v>
      </c>
      <c r="X153" s="43"/>
      <c r="Y153" s="15"/>
      <c r="Z153" s="44"/>
      <c r="AA153" s="15"/>
      <c r="AB153" s="15"/>
      <c r="AC153" s="15"/>
      <c r="AD153" s="43"/>
      <c r="AE153" s="15"/>
      <c r="AF153" s="44"/>
      <c r="AG153" s="15"/>
      <c r="AH153" s="15"/>
      <c r="AI153" s="15"/>
      <c r="AJ153" s="15"/>
      <c r="AK153" s="44"/>
      <c r="AL153" s="16"/>
    </row>
    <row r="154" spans="2:41" ht="14" customHeight="1" x14ac:dyDescent="0.25">
      <c r="B154" s="9">
        <v>14</v>
      </c>
      <c r="C154" s="9" t="s">
        <v>325</v>
      </c>
      <c r="D154" s="15">
        <v>0.69</v>
      </c>
      <c r="E154" s="45">
        <v>7.0000000000000001E-3</v>
      </c>
      <c r="F154" s="9"/>
      <c r="I154" s="9">
        <v>14</v>
      </c>
      <c r="J154" s="9" t="s">
        <v>343</v>
      </c>
      <c r="K154" s="15">
        <v>4.3</v>
      </c>
      <c r="L154" s="45">
        <v>5.5999999999999999E-3</v>
      </c>
      <c r="O154" s="15">
        <v>14</v>
      </c>
      <c r="P154" s="15" t="s">
        <v>349</v>
      </c>
      <c r="Q154" s="15">
        <v>0.57999999999999996</v>
      </c>
      <c r="R154" s="16">
        <v>7.3000000000000001E-3</v>
      </c>
      <c r="S154" s="15"/>
      <c r="T154" s="9"/>
      <c r="U154" s="9"/>
      <c r="V154" s="9"/>
      <c r="W154" s="45"/>
      <c r="X154" s="43"/>
      <c r="Y154" s="15"/>
      <c r="Z154" s="44"/>
      <c r="AA154" s="15"/>
      <c r="AB154" s="15"/>
      <c r="AC154" s="15"/>
      <c r="AD154" s="43"/>
      <c r="AE154" s="15"/>
      <c r="AF154" s="44"/>
      <c r="AG154" s="15"/>
      <c r="AH154" s="15"/>
      <c r="AI154" s="15"/>
      <c r="AJ154" s="15"/>
      <c r="AK154" s="44"/>
      <c r="AL154" s="16"/>
    </row>
    <row r="155" spans="2:41" ht="14" customHeight="1" x14ac:dyDescent="0.25">
      <c r="B155" s="9">
        <v>15</v>
      </c>
      <c r="C155" s="9" t="s">
        <v>348</v>
      </c>
      <c r="D155" s="15">
        <v>0.57999999999999996</v>
      </c>
      <c r="E155" s="45">
        <v>6.0000000000000001E-3</v>
      </c>
      <c r="F155" s="9"/>
      <c r="I155" s="9">
        <v>15</v>
      </c>
      <c r="J155" s="9" t="s">
        <v>326</v>
      </c>
      <c r="K155" s="9">
        <v>4.3</v>
      </c>
      <c r="L155" s="45">
        <v>5.5999999999999999E-3</v>
      </c>
      <c r="O155" s="15">
        <v>15</v>
      </c>
      <c r="P155" s="15" t="s">
        <v>350</v>
      </c>
      <c r="Q155" s="15">
        <v>0.53</v>
      </c>
      <c r="R155" s="16">
        <v>6.7000000000000002E-3</v>
      </c>
      <c r="S155" s="15"/>
      <c r="T155" s="9"/>
      <c r="U155" s="9"/>
      <c r="V155" s="9"/>
      <c r="W155" s="45"/>
      <c r="X155" s="43"/>
      <c r="Y155" s="15"/>
      <c r="Z155" s="44"/>
      <c r="AA155" s="15"/>
      <c r="AB155" s="15"/>
      <c r="AC155" s="15"/>
      <c r="AD155" s="43"/>
      <c r="AE155" s="15"/>
      <c r="AF155" s="44"/>
      <c r="AG155" s="15"/>
      <c r="AH155" s="15"/>
      <c r="AI155" s="15"/>
      <c r="AJ155" s="15"/>
      <c r="AK155" s="44"/>
      <c r="AL155" s="16"/>
    </row>
    <row r="156" spans="2:41" ht="14" customHeight="1" x14ac:dyDescent="0.25">
      <c r="B156" s="9"/>
      <c r="C156" s="9"/>
      <c r="D156" s="9"/>
      <c r="E156" s="45"/>
      <c r="F156" s="9"/>
      <c r="I156" s="9"/>
      <c r="J156" s="9"/>
      <c r="K156" s="9"/>
      <c r="L156" s="45"/>
      <c r="O156" s="43"/>
      <c r="P156" s="15"/>
      <c r="Q156" s="15"/>
      <c r="R156" s="16"/>
      <c r="S156" s="15"/>
      <c r="T156" s="9"/>
      <c r="U156" s="9"/>
      <c r="V156" s="9"/>
      <c r="W156" s="45"/>
      <c r="X156" s="43"/>
      <c r="Y156" s="15"/>
      <c r="Z156" s="44"/>
      <c r="AA156" s="15"/>
      <c r="AB156" s="15"/>
      <c r="AC156" s="15"/>
      <c r="AD156" s="43"/>
      <c r="AE156" s="15"/>
      <c r="AF156" s="44"/>
      <c r="AG156" s="15"/>
      <c r="AH156" s="15"/>
      <c r="AI156" s="15"/>
      <c r="AJ156" s="15"/>
      <c r="AK156" s="44"/>
      <c r="AL156" s="16"/>
    </row>
    <row r="157" spans="2:41" ht="14" customHeight="1" x14ac:dyDescent="0.25">
      <c r="B157" s="15" t="s">
        <v>351</v>
      </c>
      <c r="D157" s="43"/>
      <c r="I157" s="15" t="s">
        <v>352</v>
      </c>
      <c r="O157" s="25" t="s">
        <v>353</v>
      </c>
      <c r="T157" s="25" t="s">
        <v>354</v>
      </c>
      <c r="V157" s="227"/>
      <c r="AA157" s="43"/>
      <c r="AB157" s="15"/>
      <c r="AC157" s="44"/>
      <c r="AD157" s="15"/>
      <c r="AE157" s="15"/>
      <c r="AF157" s="15"/>
      <c r="AG157" s="43"/>
      <c r="AH157" s="15"/>
      <c r="AI157" s="44"/>
      <c r="AJ157" s="15"/>
      <c r="AK157" s="15"/>
      <c r="AL157" s="15"/>
      <c r="AM157" s="15"/>
      <c r="AN157" s="44"/>
      <c r="AO157" s="16"/>
    </row>
    <row r="158" spans="2:41" ht="14" customHeight="1" x14ac:dyDescent="0.25">
      <c r="B158" s="9" t="s">
        <v>334</v>
      </c>
      <c r="C158" s="9" t="s">
        <v>335</v>
      </c>
      <c r="D158" s="9" t="s">
        <v>336</v>
      </c>
      <c r="E158" s="9" t="s">
        <v>337</v>
      </c>
      <c r="F158" s="9"/>
      <c r="I158" s="9" t="s">
        <v>334</v>
      </c>
      <c r="J158" s="9" t="s">
        <v>335</v>
      </c>
      <c r="K158" s="9" t="s">
        <v>336</v>
      </c>
      <c r="L158" s="9" t="s">
        <v>338</v>
      </c>
      <c r="O158" s="9" t="s">
        <v>334</v>
      </c>
      <c r="P158" s="9" t="s">
        <v>335</v>
      </c>
      <c r="Q158" s="9" t="s">
        <v>336</v>
      </c>
      <c r="R158" s="9" t="s">
        <v>337</v>
      </c>
      <c r="S158" s="15"/>
      <c r="T158" s="9" t="s">
        <v>334</v>
      </c>
      <c r="U158" s="9" t="s">
        <v>335</v>
      </c>
      <c r="V158" s="9" t="s">
        <v>336</v>
      </c>
      <c r="W158" s="9" t="s">
        <v>337</v>
      </c>
      <c r="X158" s="43"/>
      <c r="Y158" s="15"/>
      <c r="Z158" s="44"/>
      <c r="AA158" s="15"/>
      <c r="AB158" s="15"/>
      <c r="AC158" s="15"/>
      <c r="AD158" s="43"/>
      <c r="AE158" s="15"/>
      <c r="AF158" s="44"/>
      <c r="AG158" s="15"/>
      <c r="AH158" s="15"/>
      <c r="AI158" s="15"/>
      <c r="AJ158" s="15"/>
      <c r="AK158" s="44"/>
      <c r="AL158" s="16"/>
    </row>
    <row r="159" spans="2:41" ht="14" customHeight="1" x14ac:dyDescent="0.25">
      <c r="B159" s="9">
        <v>1</v>
      </c>
      <c r="C159" s="9" t="s">
        <v>68</v>
      </c>
      <c r="D159" s="9">
        <v>40.869999999999997</v>
      </c>
      <c r="E159" s="45">
        <v>0.43709999999999999</v>
      </c>
      <c r="F159" s="9"/>
      <c r="I159" s="9">
        <v>1</v>
      </c>
      <c r="J159" s="9" t="s">
        <v>68</v>
      </c>
      <c r="K159" s="9">
        <v>287.68</v>
      </c>
      <c r="L159" s="45">
        <v>0.42920000000000003</v>
      </c>
      <c r="O159" s="9">
        <v>1</v>
      </c>
      <c r="P159" s="9" t="s">
        <v>68</v>
      </c>
      <c r="Q159" s="9">
        <v>28.09</v>
      </c>
      <c r="R159" s="45">
        <v>0.37309999999999999</v>
      </c>
      <c r="S159" s="15"/>
      <c r="T159" s="9">
        <v>1</v>
      </c>
      <c r="U159" s="9" t="s">
        <v>68</v>
      </c>
      <c r="V159" s="9">
        <v>12.78</v>
      </c>
      <c r="W159" s="45">
        <v>0.70240000000000002</v>
      </c>
      <c r="X159" s="43"/>
      <c r="Y159" s="15"/>
      <c r="Z159" s="44"/>
      <c r="AA159" s="15"/>
      <c r="AB159" s="15"/>
      <c r="AC159" s="15"/>
      <c r="AD159" s="43"/>
      <c r="AE159" s="15"/>
      <c r="AF159" s="44"/>
      <c r="AG159" s="15"/>
      <c r="AH159" s="15"/>
      <c r="AI159" s="15"/>
      <c r="AJ159" s="15"/>
      <c r="AK159" s="44"/>
      <c r="AL159" s="16"/>
    </row>
    <row r="160" spans="2:41" ht="14" customHeight="1" x14ac:dyDescent="0.25">
      <c r="B160" s="9">
        <v>2</v>
      </c>
      <c r="C160" s="9" t="s">
        <v>69</v>
      </c>
      <c r="D160" s="9">
        <v>19.04</v>
      </c>
      <c r="E160" s="45">
        <v>0.2036</v>
      </c>
      <c r="F160" s="9"/>
      <c r="I160" s="9">
        <v>2</v>
      </c>
      <c r="J160" s="9" t="s">
        <v>69</v>
      </c>
      <c r="K160" s="9">
        <v>148.13999999999999</v>
      </c>
      <c r="L160" s="45">
        <v>0.221</v>
      </c>
      <c r="O160" s="9">
        <v>2</v>
      </c>
      <c r="P160" s="9" t="s">
        <v>69</v>
      </c>
      <c r="Q160" s="9">
        <v>19.04</v>
      </c>
      <c r="R160" s="45">
        <v>0.25280000000000002</v>
      </c>
      <c r="T160" s="9">
        <v>2</v>
      </c>
      <c r="U160" s="9" t="s">
        <v>127</v>
      </c>
      <c r="V160" s="9">
        <v>2.41</v>
      </c>
      <c r="W160" s="45">
        <v>0.13250000000000001</v>
      </c>
      <c r="X160" s="43"/>
      <c r="Y160" s="15"/>
      <c r="Z160" s="44"/>
      <c r="AA160" s="15"/>
      <c r="AB160" s="15"/>
      <c r="AC160" s="15"/>
      <c r="AD160" s="43"/>
      <c r="AE160" s="15"/>
      <c r="AF160" s="44"/>
      <c r="AG160" s="15"/>
      <c r="AH160" s="15"/>
      <c r="AI160" s="15"/>
      <c r="AJ160" s="15"/>
      <c r="AK160" s="44"/>
      <c r="AL160" s="16"/>
    </row>
    <row r="161" spans="2:41" ht="14" customHeight="1" x14ac:dyDescent="0.25">
      <c r="B161" s="9">
        <v>3</v>
      </c>
      <c r="C161" s="9" t="s">
        <v>71</v>
      </c>
      <c r="D161" s="9">
        <v>5.96</v>
      </c>
      <c r="E161" s="45">
        <v>6.3700000000000007E-2</v>
      </c>
      <c r="F161" s="9"/>
      <c r="I161" s="9">
        <v>3</v>
      </c>
      <c r="J161" s="9" t="s">
        <v>71</v>
      </c>
      <c r="K161" s="9">
        <v>46.61</v>
      </c>
      <c r="L161" s="45">
        <v>6.9500000000000006E-2</v>
      </c>
      <c r="O161" s="9">
        <v>3</v>
      </c>
      <c r="P161" s="9" t="s">
        <v>70</v>
      </c>
      <c r="Q161" s="15">
        <v>5.86</v>
      </c>
      <c r="R161" s="45">
        <v>7.7799999999999994E-2</v>
      </c>
      <c r="T161" s="9">
        <v>3</v>
      </c>
      <c r="U161" s="9" t="s">
        <v>74</v>
      </c>
      <c r="V161" s="9">
        <v>1.39</v>
      </c>
      <c r="W161" s="45">
        <v>7.6600000000000001E-2</v>
      </c>
      <c r="X161" s="43"/>
      <c r="Y161" s="15"/>
      <c r="Z161" s="44"/>
      <c r="AA161" s="15"/>
      <c r="AB161" s="15"/>
      <c r="AC161" s="15"/>
      <c r="AD161" s="43"/>
      <c r="AE161" s="15"/>
      <c r="AF161" s="44"/>
      <c r="AG161" s="15"/>
      <c r="AH161" s="15"/>
      <c r="AI161" s="15"/>
      <c r="AJ161" s="15"/>
      <c r="AK161" s="44"/>
      <c r="AL161" s="16"/>
    </row>
    <row r="162" spans="2:41" ht="14" customHeight="1" x14ac:dyDescent="0.25">
      <c r="B162" s="9">
        <v>4</v>
      </c>
      <c r="C162" s="9" t="s">
        <v>70</v>
      </c>
      <c r="D162" s="9">
        <v>5.89</v>
      </c>
      <c r="E162" s="45">
        <v>6.3E-2</v>
      </c>
      <c r="F162" s="9"/>
      <c r="I162" s="9">
        <v>4</v>
      </c>
      <c r="J162" s="9" t="s">
        <v>70</v>
      </c>
      <c r="K162" s="9">
        <v>37.74</v>
      </c>
      <c r="L162" s="45">
        <v>5.6300000000000003E-2</v>
      </c>
      <c r="O162" s="9">
        <v>4</v>
      </c>
      <c r="P162" s="9" t="s">
        <v>71</v>
      </c>
      <c r="Q162" s="15">
        <v>4.84</v>
      </c>
      <c r="R162" s="45">
        <v>6.4299999999999996E-2</v>
      </c>
      <c r="T162" s="9">
        <v>4</v>
      </c>
      <c r="U162" s="9" t="s">
        <v>71</v>
      </c>
      <c r="V162" s="9">
        <v>1.1200000000000001</v>
      </c>
      <c r="W162" s="45">
        <v>6.1400000000000003E-2</v>
      </c>
      <c r="X162" s="43"/>
      <c r="Y162" s="15"/>
      <c r="Z162" s="44"/>
      <c r="AA162" s="15"/>
      <c r="AB162" s="15"/>
      <c r="AC162" s="15"/>
      <c r="AD162" s="43"/>
      <c r="AE162" s="15"/>
      <c r="AF162" s="44"/>
      <c r="AG162" s="15"/>
      <c r="AH162" s="15"/>
      <c r="AI162" s="15"/>
      <c r="AJ162" s="15"/>
      <c r="AK162" s="44"/>
      <c r="AL162" s="16"/>
    </row>
    <row r="163" spans="2:41" ht="14" customHeight="1" x14ac:dyDescent="0.25">
      <c r="B163" s="9">
        <v>5</v>
      </c>
      <c r="C163" s="9" t="s">
        <v>73</v>
      </c>
      <c r="D163" s="9">
        <v>3.59</v>
      </c>
      <c r="E163" s="45">
        <v>3.8399999999999997E-2</v>
      </c>
      <c r="F163" s="9"/>
      <c r="I163" s="9">
        <v>5</v>
      </c>
      <c r="J163" s="9" t="s">
        <v>73</v>
      </c>
      <c r="K163" s="9">
        <v>27.46</v>
      </c>
      <c r="L163" s="45">
        <v>4.1000000000000002E-2</v>
      </c>
      <c r="O163" s="9">
        <v>5</v>
      </c>
      <c r="P163" s="9" t="s">
        <v>73</v>
      </c>
      <c r="Q163" s="9">
        <v>3.5</v>
      </c>
      <c r="R163" s="45">
        <v>4.65E-2</v>
      </c>
      <c r="T163" s="9">
        <v>5</v>
      </c>
      <c r="U163" s="9" t="s">
        <v>323</v>
      </c>
      <c r="V163" s="9">
        <v>0.2</v>
      </c>
      <c r="W163" s="45">
        <v>1.0999999999999999E-2</v>
      </c>
      <c r="X163" s="43"/>
      <c r="Y163" s="15"/>
      <c r="Z163" s="44"/>
      <c r="AA163" s="15"/>
      <c r="AB163" s="15"/>
      <c r="AC163" s="15"/>
      <c r="AD163" s="43"/>
      <c r="AE163" s="15"/>
      <c r="AF163" s="44"/>
      <c r="AG163" s="15"/>
      <c r="AH163" s="15"/>
      <c r="AI163" s="15"/>
      <c r="AJ163" s="15"/>
      <c r="AK163" s="44"/>
      <c r="AL163" s="16"/>
    </row>
    <row r="164" spans="2:41" ht="14" customHeight="1" x14ac:dyDescent="0.25">
      <c r="B164" s="9">
        <v>6</v>
      </c>
      <c r="C164" s="9" t="s">
        <v>322</v>
      </c>
      <c r="D164" s="9">
        <v>2.98</v>
      </c>
      <c r="E164" s="45">
        <v>3.1899999999999998E-2</v>
      </c>
      <c r="F164" s="9"/>
      <c r="I164" s="9">
        <v>6</v>
      </c>
      <c r="J164" s="9" t="s">
        <v>129</v>
      </c>
      <c r="K164" s="9">
        <v>21.8</v>
      </c>
      <c r="L164" s="45">
        <v>3.2500000000000001E-2</v>
      </c>
      <c r="O164" s="9">
        <v>6</v>
      </c>
      <c r="P164" s="9" t="s">
        <v>322</v>
      </c>
      <c r="Q164" s="9">
        <v>2.98</v>
      </c>
      <c r="R164" s="16">
        <v>3.9600000000000003E-2</v>
      </c>
      <c r="T164" s="9">
        <v>6</v>
      </c>
      <c r="U164" s="9" t="s">
        <v>129</v>
      </c>
      <c r="V164" s="9">
        <v>0.09</v>
      </c>
      <c r="W164" s="45">
        <v>4.8999999999999998E-3</v>
      </c>
      <c r="X164" s="43"/>
      <c r="Y164" s="15"/>
      <c r="Z164" s="44"/>
      <c r="AA164" s="15"/>
      <c r="AB164" s="15"/>
      <c r="AC164" s="15"/>
      <c r="AD164" s="43"/>
      <c r="AE164" s="15"/>
      <c r="AF164" s="44"/>
      <c r="AG164" s="15"/>
      <c r="AH164" s="15"/>
      <c r="AI164" s="15"/>
      <c r="AJ164" s="15"/>
      <c r="AK164" s="44"/>
      <c r="AL164" s="16"/>
    </row>
    <row r="165" spans="2:41" ht="14" customHeight="1" x14ac:dyDescent="0.25">
      <c r="B165" s="9">
        <v>7</v>
      </c>
      <c r="C165" s="9" t="s">
        <v>340</v>
      </c>
      <c r="D165" s="9">
        <v>2.5099999999999998</v>
      </c>
      <c r="E165" s="45">
        <v>2.6800000000000001E-2</v>
      </c>
      <c r="F165" s="9"/>
      <c r="I165" s="9">
        <v>7</v>
      </c>
      <c r="J165" s="9" t="s">
        <v>74</v>
      </c>
      <c r="K165" s="9">
        <v>18.739999999999998</v>
      </c>
      <c r="L165" s="45">
        <v>2.8000000000000001E-2</v>
      </c>
      <c r="O165" s="9">
        <v>7</v>
      </c>
      <c r="P165" s="9" t="s">
        <v>129</v>
      </c>
      <c r="Q165" s="9">
        <v>2.42</v>
      </c>
      <c r="R165" s="16">
        <v>3.2099999999999997E-2</v>
      </c>
      <c r="T165" s="9">
        <v>7</v>
      </c>
      <c r="U165" s="9" t="s">
        <v>73</v>
      </c>
      <c r="V165" s="9">
        <v>0.09</v>
      </c>
      <c r="W165" s="45">
        <v>4.8999999999999998E-3</v>
      </c>
      <c r="X165" s="43"/>
      <c r="Y165" s="15"/>
      <c r="Z165" s="44"/>
      <c r="AA165" s="15"/>
      <c r="AB165" s="15"/>
      <c r="AC165" s="15"/>
      <c r="AD165" s="43"/>
      <c r="AE165" s="15"/>
      <c r="AF165" s="44"/>
      <c r="AG165" s="15"/>
      <c r="AH165" s="15"/>
      <c r="AI165" s="15"/>
      <c r="AJ165" s="15"/>
      <c r="AK165" s="44"/>
      <c r="AL165" s="16"/>
    </row>
    <row r="166" spans="2:41" ht="14" customHeight="1" x14ac:dyDescent="0.25">
      <c r="B166" s="9">
        <v>8</v>
      </c>
      <c r="C166" s="9" t="s">
        <v>341</v>
      </c>
      <c r="D166" s="9">
        <v>2.4500000000000002</v>
      </c>
      <c r="E166" s="45">
        <v>2.6200000000000001E-2</v>
      </c>
      <c r="F166" s="9"/>
      <c r="I166" s="9">
        <v>8</v>
      </c>
      <c r="J166" s="9" t="s">
        <v>322</v>
      </c>
      <c r="K166" s="9">
        <v>16.64</v>
      </c>
      <c r="L166" s="45">
        <v>2.4799999999999999E-2</v>
      </c>
      <c r="O166" s="9">
        <v>8</v>
      </c>
      <c r="P166" s="9" t="s">
        <v>327</v>
      </c>
      <c r="Q166" s="9">
        <v>2.2400000000000002</v>
      </c>
      <c r="R166" s="16">
        <v>2.9700000000000001E-2</v>
      </c>
      <c r="T166" s="9">
        <v>8</v>
      </c>
      <c r="U166" s="9" t="s">
        <v>339</v>
      </c>
      <c r="V166" s="9">
        <v>0.03</v>
      </c>
      <c r="W166" s="45">
        <v>1.8E-3</v>
      </c>
      <c r="X166" s="43"/>
      <c r="Y166" s="15"/>
      <c r="Z166" s="44"/>
      <c r="AA166" s="15"/>
      <c r="AB166" s="15"/>
      <c r="AC166" s="15"/>
      <c r="AD166" s="43"/>
      <c r="AE166" s="15"/>
      <c r="AF166" s="44"/>
      <c r="AG166" s="15"/>
      <c r="AH166" s="15"/>
      <c r="AI166" s="15"/>
      <c r="AJ166" s="15"/>
      <c r="AK166" s="44"/>
      <c r="AL166" s="16"/>
    </row>
    <row r="167" spans="2:41" ht="14" customHeight="1" x14ac:dyDescent="0.25">
      <c r="B167" s="9">
        <v>9</v>
      </c>
      <c r="C167" s="9" t="s">
        <v>127</v>
      </c>
      <c r="D167" s="9">
        <v>2.41</v>
      </c>
      <c r="E167" s="45">
        <v>2.58E-2</v>
      </c>
      <c r="F167" s="9"/>
      <c r="I167" s="9">
        <v>9</v>
      </c>
      <c r="J167" s="9" t="s">
        <v>323</v>
      </c>
      <c r="K167" s="9">
        <v>14.77</v>
      </c>
      <c r="L167" s="45">
        <v>2.1999999999999999E-2</v>
      </c>
      <c r="O167" s="15">
        <v>9</v>
      </c>
      <c r="P167" s="9" t="s">
        <v>323</v>
      </c>
      <c r="Q167" s="9">
        <v>1.51</v>
      </c>
      <c r="R167" s="16">
        <v>2.01E-2</v>
      </c>
      <c r="T167" s="9">
        <v>9</v>
      </c>
      <c r="U167" s="9" t="s">
        <v>70</v>
      </c>
      <c r="V167" s="9">
        <v>0.03</v>
      </c>
      <c r="W167" s="45">
        <v>1.6999999999999999E-3</v>
      </c>
      <c r="X167" s="43"/>
      <c r="Y167" s="15"/>
      <c r="Z167" s="44"/>
      <c r="AA167" s="15"/>
      <c r="AB167" s="15"/>
      <c r="AC167" s="15"/>
      <c r="AD167" s="43"/>
      <c r="AE167" s="15"/>
      <c r="AF167" s="44"/>
      <c r="AG167" s="15"/>
      <c r="AH167" s="15"/>
      <c r="AI167" s="15"/>
      <c r="AJ167" s="15"/>
      <c r="AK167" s="44"/>
      <c r="AL167" s="16"/>
    </row>
    <row r="168" spans="2:41" ht="14" customHeight="1" x14ac:dyDescent="0.25">
      <c r="B168" s="9">
        <v>10</v>
      </c>
      <c r="C168" s="9" t="s">
        <v>327</v>
      </c>
      <c r="D168" s="9">
        <v>2.2400000000000002</v>
      </c>
      <c r="E168" s="45">
        <v>2.3900000000000001E-2</v>
      </c>
      <c r="F168" s="9"/>
      <c r="I168" s="9">
        <v>10</v>
      </c>
      <c r="J168" s="9" t="s">
        <v>327</v>
      </c>
      <c r="K168" s="9">
        <v>13.29</v>
      </c>
      <c r="L168" s="45">
        <v>1.9800000000000002E-2</v>
      </c>
      <c r="O168" s="15">
        <v>10</v>
      </c>
      <c r="P168" s="9" t="s">
        <v>74</v>
      </c>
      <c r="Q168" s="9">
        <v>1.05</v>
      </c>
      <c r="R168" s="45">
        <v>1.4E-2</v>
      </c>
      <c r="T168" s="9">
        <v>10</v>
      </c>
      <c r="U168" s="9" t="s">
        <v>25</v>
      </c>
      <c r="V168" s="9">
        <v>2.5999999999999999E-2</v>
      </c>
      <c r="W168" s="45">
        <v>1.4E-3</v>
      </c>
      <c r="X168" s="43"/>
      <c r="Y168" s="15"/>
      <c r="Z168" s="44"/>
      <c r="AA168" s="15"/>
      <c r="AB168" s="15"/>
      <c r="AC168" s="15"/>
      <c r="AD168" s="43"/>
      <c r="AE168" s="15"/>
      <c r="AF168" s="44"/>
      <c r="AG168" s="15"/>
      <c r="AH168" s="15"/>
      <c r="AI168" s="15"/>
      <c r="AJ168" s="15"/>
      <c r="AK168" s="44"/>
      <c r="AL168" s="16"/>
    </row>
    <row r="169" spans="2:41" ht="14" customHeight="1" x14ac:dyDescent="0.25">
      <c r="B169" s="9">
        <v>11</v>
      </c>
      <c r="C169" s="9" t="s">
        <v>344</v>
      </c>
      <c r="D169" s="9">
        <v>1.71</v>
      </c>
      <c r="E169" s="45">
        <v>1.83E-2</v>
      </c>
      <c r="F169" s="9"/>
      <c r="I169" s="9">
        <v>11</v>
      </c>
      <c r="J169" s="9" t="s">
        <v>127</v>
      </c>
      <c r="K169" s="9">
        <v>10.68</v>
      </c>
      <c r="L169" s="45">
        <v>1.5900000000000001E-2</v>
      </c>
      <c r="O169" s="15">
        <v>11</v>
      </c>
      <c r="P169" s="15" t="s">
        <v>355</v>
      </c>
      <c r="Q169" s="9">
        <v>0.62</v>
      </c>
      <c r="R169" s="45">
        <v>8.2000000000000007E-3</v>
      </c>
      <c r="T169" s="9">
        <v>11</v>
      </c>
      <c r="U169" s="6" t="s">
        <v>356</v>
      </c>
      <c r="V169" s="9">
        <v>2.1999999999999999E-2</v>
      </c>
      <c r="W169" s="45">
        <v>1.1999999999999999E-3</v>
      </c>
      <c r="X169" s="43"/>
      <c r="Y169" s="15"/>
      <c r="Z169" s="44"/>
      <c r="AA169" s="15"/>
      <c r="AB169" s="15"/>
      <c r="AC169" s="15"/>
      <c r="AD169" s="43"/>
      <c r="AE169" s="15"/>
      <c r="AF169" s="44"/>
      <c r="AG169" s="15"/>
      <c r="AH169" s="15"/>
      <c r="AI169" s="15"/>
      <c r="AJ169" s="15"/>
      <c r="AK169" s="44"/>
      <c r="AL169" s="16"/>
    </row>
    <row r="170" spans="2:41" ht="14" customHeight="1" x14ac:dyDescent="0.25">
      <c r="B170" s="9">
        <v>12</v>
      </c>
      <c r="C170" s="9" t="s">
        <v>347</v>
      </c>
      <c r="D170" s="9">
        <v>0.65</v>
      </c>
      <c r="E170" s="45">
        <v>7.0000000000000001E-3</v>
      </c>
      <c r="F170" s="9"/>
      <c r="I170" s="9">
        <v>12</v>
      </c>
      <c r="J170" s="9" t="s">
        <v>325</v>
      </c>
      <c r="K170" s="9">
        <v>5.61</v>
      </c>
      <c r="L170" s="45">
        <v>8.3999999999999995E-3</v>
      </c>
      <c r="O170" s="15">
        <v>12</v>
      </c>
      <c r="P170" s="9" t="s">
        <v>348</v>
      </c>
      <c r="Q170" s="9">
        <v>0.56999999999999995</v>
      </c>
      <c r="R170" s="45">
        <v>7.6E-3</v>
      </c>
      <c r="T170" s="9">
        <v>12</v>
      </c>
      <c r="U170" s="9" t="s">
        <v>326</v>
      </c>
      <c r="V170" s="9">
        <v>3.0000000000000001E-3</v>
      </c>
      <c r="W170" s="45">
        <v>1E-4</v>
      </c>
      <c r="X170" s="43"/>
      <c r="Y170" s="15"/>
      <c r="Z170" s="44"/>
      <c r="AA170" s="15"/>
      <c r="AB170" s="15"/>
      <c r="AC170" s="15"/>
      <c r="AD170" s="43"/>
      <c r="AE170" s="15"/>
      <c r="AF170" s="44"/>
      <c r="AG170" s="15"/>
      <c r="AH170" s="15"/>
      <c r="AI170" s="15"/>
      <c r="AJ170" s="15"/>
      <c r="AK170" s="44"/>
      <c r="AL170" s="16"/>
    </row>
    <row r="171" spans="2:41" ht="14" customHeight="1" x14ac:dyDescent="0.25">
      <c r="B171" s="9">
        <v>13</v>
      </c>
      <c r="C171" s="9" t="s">
        <v>348</v>
      </c>
      <c r="D171" s="9">
        <v>0.56999999999999995</v>
      </c>
      <c r="E171" s="45">
        <v>6.1000000000000004E-3</v>
      </c>
      <c r="F171" s="9"/>
      <c r="I171" s="9">
        <v>13</v>
      </c>
      <c r="J171" s="9" t="s">
        <v>348</v>
      </c>
      <c r="K171" s="9">
        <v>4.8099999999999996</v>
      </c>
      <c r="L171" s="45">
        <v>7.1999999999999998E-3</v>
      </c>
      <c r="O171" s="15">
        <v>13</v>
      </c>
      <c r="P171" s="15" t="s">
        <v>328</v>
      </c>
      <c r="Q171" s="15">
        <v>0.56000000000000005</v>
      </c>
      <c r="R171" s="45">
        <v>7.4999999999999997E-3</v>
      </c>
      <c r="S171" s="9"/>
      <c r="T171" s="9">
        <v>13</v>
      </c>
      <c r="U171" s="9" t="s">
        <v>357</v>
      </c>
      <c r="V171" s="9">
        <v>0</v>
      </c>
      <c r="W171" s="45">
        <v>0</v>
      </c>
      <c r="X171" s="43"/>
      <c r="Y171" s="15"/>
      <c r="Z171" s="44"/>
      <c r="AA171" s="15"/>
      <c r="AB171" s="15"/>
      <c r="AC171" s="15"/>
      <c r="AD171" s="43"/>
      <c r="AE171" s="15"/>
      <c r="AF171" s="44"/>
      <c r="AG171" s="15"/>
      <c r="AH171" s="15"/>
      <c r="AI171" s="15"/>
      <c r="AJ171" s="15"/>
      <c r="AK171" s="44"/>
      <c r="AL171" s="16"/>
    </row>
    <row r="172" spans="2:41" ht="14" customHeight="1" x14ac:dyDescent="0.25">
      <c r="B172" s="9">
        <v>14</v>
      </c>
      <c r="C172" s="9" t="s">
        <v>325</v>
      </c>
      <c r="D172" s="9">
        <v>0.56000000000000005</v>
      </c>
      <c r="E172" s="45">
        <v>6.0000000000000001E-3</v>
      </c>
      <c r="F172" s="9"/>
      <c r="I172" s="9">
        <v>14</v>
      </c>
      <c r="J172" s="9" t="s">
        <v>326</v>
      </c>
      <c r="K172" s="9">
        <v>4.1500000000000004</v>
      </c>
      <c r="L172" s="45">
        <v>6.1999999999999998E-3</v>
      </c>
      <c r="O172" s="15">
        <v>14</v>
      </c>
      <c r="P172" s="15" t="s">
        <v>358</v>
      </c>
      <c r="Q172" s="15">
        <v>0.54</v>
      </c>
      <c r="R172" s="45">
        <v>7.1999999999999998E-3</v>
      </c>
      <c r="S172" s="15"/>
      <c r="T172" s="9"/>
      <c r="U172" s="9"/>
      <c r="V172" s="9"/>
      <c r="W172" s="45"/>
      <c r="X172" s="43"/>
      <c r="Y172" s="15"/>
      <c r="Z172" s="44"/>
      <c r="AA172" s="15"/>
      <c r="AB172" s="15"/>
      <c r="AC172" s="15"/>
      <c r="AD172" s="43"/>
      <c r="AE172" s="15"/>
      <c r="AF172" s="44"/>
      <c r="AG172" s="15"/>
      <c r="AH172" s="15"/>
      <c r="AI172" s="15"/>
      <c r="AJ172" s="15"/>
      <c r="AK172" s="44"/>
      <c r="AL172" s="16"/>
    </row>
    <row r="173" spans="2:41" ht="14" customHeight="1" x14ac:dyDescent="0.25">
      <c r="B173" s="9">
        <v>15</v>
      </c>
      <c r="C173" s="9" t="s">
        <v>345</v>
      </c>
      <c r="D173" s="9">
        <v>0.54</v>
      </c>
      <c r="E173" s="45">
        <v>5.7999999999999996E-3</v>
      </c>
      <c r="F173" s="9"/>
      <c r="I173" s="9">
        <v>15</v>
      </c>
      <c r="J173" s="9" t="s">
        <v>343</v>
      </c>
      <c r="K173" s="9">
        <v>3.49</v>
      </c>
      <c r="L173" s="45">
        <v>5.1999999999999998E-3</v>
      </c>
      <c r="O173" s="15">
        <v>15</v>
      </c>
      <c r="P173" s="9" t="s">
        <v>326</v>
      </c>
      <c r="Q173" s="15">
        <v>0.42</v>
      </c>
      <c r="R173" s="45">
        <v>5.5999999999999999E-3</v>
      </c>
      <c r="S173" s="15"/>
      <c r="T173" s="9"/>
      <c r="U173" s="9"/>
      <c r="V173" s="9"/>
      <c r="W173" s="45"/>
      <c r="X173" s="43"/>
      <c r="Y173" s="15"/>
      <c r="Z173" s="44"/>
      <c r="AA173" s="15"/>
      <c r="AB173" s="15"/>
      <c r="AC173" s="15"/>
      <c r="AD173" s="43"/>
      <c r="AE173" s="15"/>
      <c r="AF173" s="44"/>
      <c r="AG173" s="15"/>
      <c r="AH173" s="15"/>
      <c r="AI173" s="15"/>
      <c r="AJ173" s="15"/>
      <c r="AK173" s="44"/>
      <c r="AL173" s="16"/>
    </row>
    <row r="174" spans="2:41" ht="14" customHeight="1" x14ac:dyDescent="0.25">
      <c r="D174" s="43"/>
      <c r="J174" s="43"/>
      <c r="O174" s="43"/>
      <c r="P174" s="15"/>
      <c r="Q174" s="15"/>
      <c r="R174" s="15"/>
      <c r="S174" s="15"/>
      <c r="T174" s="15"/>
      <c r="U174" s="15"/>
      <c r="V174" s="15"/>
      <c r="W174" s="15"/>
      <c r="X174" s="43"/>
      <c r="Y174" s="15"/>
      <c r="Z174" s="44"/>
      <c r="AA174" s="15"/>
      <c r="AB174" s="15"/>
      <c r="AC174" s="15"/>
      <c r="AD174" s="43"/>
      <c r="AE174" s="15"/>
      <c r="AF174" s="44"/>
      <c r="AG174" s="15"/>
      <c r="AH174" s="15"/>
      <c r="AI174" s="15"/>
      <c r="AJ174" s="15"/>
      <c r="AK174" s="44"/>
      <c r="AL174" s="16"/>
    </row>
    <row r="175" spans="2:41" ht="14" customHeight="1" x14ac:dyDescent="0.25">
      <c r="B175" s="15" t="s">
        <v>359</v>
      </c>
      <c r="D175" s="43"/>
      <c r="I175" s="15" t="s">
        <v>360</v>
      </c>
      <c r="O175" s="25" t="s">
        <v>361</v>
      </c>
      <c r="T175" s="25" t="s">
        <v>362</v>
      </c>
      <c r="V175" s="227"/>
      <c r="AA175" s="43"/>
      <c r="AB175" s="15"/>
      <c r="AC175" s="44"/>
      <c r="AD175" s="15"/>
      <c r="AE175" s="15"/>
      <c r="AF175" s="15"/>
      <c r="AG175" s="43"/>
      <c r="AH175" s="15"/>
      <c r="AI175" s="44"/>
      <c r="AJ175" s="15"/>
      <c r="AK175" s="15"/>
      <c r="AL175" s="15"/>
      <c r="AM175" s="15"/>
      <c r="AN175" s="44"/>
      <c r="AO175" s="16"/>
    </row>
    <row r="176" spans="2:41" ht="14" customHeight="1" x14ac:dyDescent="0.25">
      <c r="B176" s="9" t="s">
        <v>334</v>
      </c>
      <c r="C176" s="9" t="s">
        <v>335</v>
      </c>
      <c r="D176" s="9" t="s">
        <v>336</v>
      </c>
      <c r="E176" s="9" t="s">
        <v>337</v>
      </c>
      <c r="F176" s="9"/>
      <c r="I176" s="9" t="s">
        <v>334</v>
      </c>
      <c r="J176" s="9" t="s">
        <v>335</v>
      </c>
      <c r="K176" s="9" t="s">
        <v>336</v>
      </c>
      <c r="L176" s="9" t="s">
        <v>338</v>
      </c>
      <c r="O176" s="9" t="s">
        <v>334</v>
      </c>
      <c r="P176" s="9" t="s">
        <v>335</v>
      </c>
      <c r="Q176" s="9" t="s">
        <v>336</v>
      </c>
      <c r="R176" s="9" t="s">
        <v>337</v>
      </c>
      <c r="S176" s="15"/>
      <c r="T176" s="9" t="s">
        <v>334</v>
      </c>
      <c r="U176" s="9" t="s">
        <v>335</v>
      </c>
      <c r="V176" s="9" t="s">
        <v>336</v>
      </c>
      <c r="W176" s="9" t="s">
        <v>337</v>
      </c>
      <c r="X176" s="43"/>
      <c r="Y176" s="15"/>
      <c r="Z176" s="44"/>
      <c r="AA176" s="15"/>
      <c r="AB176" s="15"/>
      <c r="AC176" s="15"/>
      <c r="AD176" s="43"/>
      <c r="AE176" s="15"/>
      <c r="AF176" s="44"/>
      <c r="AG176" s="15"/>
      <c r="AH176" s="15"/>
      <c r="AI176" s="15"/>
      <c r="AJ176" s="15"/>
      <c r="AK176" s="44"/>
      <c r="AL176" s="16"/>
    </row>
    <row r="177" spans="2:38" ht="14" customHeight="1" x14ac:dyDescent="0.25">
      <c r="B177" s="9">
        <v>1</v>
      </c>
      <c r="C177" s="9" t="s">
        <v>68</v>
      </c>
      <c r="D177" s="9">
        <v>36.14</v>
      </c>
      <c r="E177" s="45">
        <v>0.43</v>
      </c>
      <c r="F177" s="9"/>
      <c r="I177" s="9">
        <v>1</v>
      </c>
      <c r="J177" s="9" t="s">
        <v>68</v>
      </c>
      <c r="K177" s="9">
        <v>246.82</v>
      </c>
      <c r="L177" s="45">
        <v>0.4279</v>
      </c>
      <c r="O177" s="9">
        <v>1</v>
      </c>
      <c r="P177" s="9" t="s">
        <v>68</v>
      </c>
      <c r="Q177" s="9">
        <v>24.1</v>
      </c>
      <c r="R177" s="45">
        <v>0.35709999999999997</v>
      </c>
      <c r="S177" s="15"/>
      <c r="T177" s="9">
        <v>1</v>
      </c>
      <c r="U177" s="9" t="s">
        <v>68</v>
      </c>
      <c r="V177" s="9">
        <v>12.04</v>
      </c>
      <c r="W177" s="45">
        <v>0.72789999999999999</v>
      </c>
      <c r="X177" s="43"/>
      <c r="Y177" s="15"/>
      <c r="Z177" s="44"/>
      <c r="AA177" s="15"/>
      <c r="AB177" s="15"/>
      <c r="AC177" s="15"/>
      <c r="AD177" s="43"/>
      <c r="AE177" s="15"/>
      <c r="AF177" s="44"/>
      <c r="AG177" s="15"/>
      <c r="AH177" s="15"/>
      <c r="AI177" s="15"/>
      <c r="AJ177" s="15"/>
      <c r="AK177" s="44"/>
      <c r="AL177" s="16"/>
    </row>
    <row r="178" spans="2:38" ht="14" customHeight="1" x14ac:dyDescent="0.25">
      <c r="B178" s="9">
        <v>2</v>
      </c>
      <c r="C178" s="9" t="s">
        <v>69</v>
      </c>
      <c r="D178" s="9">
        <v>17.89</v>
      </c>
      <c r="E178" s="45">
        <v>0.21290000000000001</v>
      </c>
      <c r="F178" s="9"/>
      <c r="I178" s="9">
        <v>2</v>
      </c>
      <c r="J178" s="9" t="s">
        <v>69</v>
      </c>
      <c r="K178" s="9">
        <v>129.1</v>
      </c>
      <c r="L178" s="45">
        <v>0.2238</v>
      </c>
      <c r="O178" s="9">
        <v>2</v>
      </c>
      <c r="P178" s="9" t="s">
        <v>69</v>
      </c>
      <c r="Q178" s="9">
        <v>17.89</v>
      </c>
      <c r="R178" s="45">
        <v>0.2651</v>
      </c>
      <c r="S178" s="15"/>
      <c r="T178" s="9">
        <v>2</v>
      </c>
      <c r="U178" s="9" t="s">
        <v>71</v>
      </c>
      <c r="V178" s="9">
        <v>1.53</v>
      </c>
      <c r="W178" s="45">
        <v>9.2700000000000005E-2</v>
      </c>
      <c r="X178" s="43"/>
      <c r="Y178" s="15"/>
      <c r="Z178" s="44"/>
      <c r="AA178" s="15"/>
      <c r="AB178" s="15"/>
      <c r="AC178" s="15"/>
      <c r="AD178" s="43"/>
      <c r="AE178" s="15"/>
      <c r="AF178" s="44"/>
      <c r="AG178" s="15"/>
      <c r="AH178" s="15"/>
      <c r="AI178" s="15"/>
      <c r="AJ178" s="15"/>
      <c r="AK178" s="44"/>
      <c r="AL178" s="16"/>
    </row>
    <row r="179" spans="2:38" ht="14" customHeight="1" x14ac:dyDescent="0.25">
      <c r="B179" s="9">
        <v>3</v>
      </c>
      <c r="C179" s="9" t="s">
        <v>71</v>
      </c>
      <c r="D179" s="9">
        <v>5.87</v>
      </c>
      <c r="E179" s="45">
        <v>6.9900000000000004E-2</v>
      </c>
      <c r="F179" s="9"/>
      <c r="I179" s="9">
        <v>3</v>
      </c>
      <c r="J179" s="9" t="s">
        <v>71</v>
      </c>
      <c r="K179" s="9">
        <v>40.65</v>
      </c>
      <c r="L179" s="45">
        <v>7.0499999999999993E-2</v>
      </c>
      <c r="O179" s="9">
        <v>3</v>
      </c>
      <c r="P179" s="9" t="s">
        <v>70</v>
      </c>
      <c r="Q179" s="9">
        <v>5.54</v>
      </c>
      <c r="R179" s="45">
        <v>8.2100000000000006E-2</v>
      </c>
      <c r="S179" s="15"/>
      <c r="T179" s="9">
        <v>3</v>
      </c>
      <c r="U179" s="9" t="s">
        <v>74</v>
      </c>
      <c r="V179" s="9">
        <v>1.42</v>
      </c>
      <c r="W179" s="45">
        <v>8.5599999999999996E-2</v>
      </c>
      <c r="X179" s="43"/>
      <c r="Y179" s="15"/>
      <c r="Z179" s="44"/>
      <c r="AA179" s="15"/>
      <c r="AB179" s="15"/>
      <c r="AC179" s="15"/>
      <c r="AD179" s="43"/>
      <c r="AE179" s="15"/>
      <c r="AF179" s="44"/>
      <c r="AG179" s="15"/>
      <c r="AH179" s="15"/>
      <c r="AI179" s="15"/>
      <c r="AJ179" s="15"/>
      <c r="AK179" s="44"/>
      <c r="AL179" s="16"/>
    </row>
    <row r="180" spans="2:38" ht="14" customHeight="1" x14ac:dyDescent="0.25">
      <c r="B180" s="9">
        <v>4</v>
      </c>
      <c r="C180" s="9" t="s">
        <v>70</v>
      </c>
      <c r="D180" s="9">
        <v>5.58</v>
      </c>
      <c r="E180" s="45">
        <v>6.6400000000000001E-2</v>
      </c>
      <c r="F180" s="9"/>
      <c r="I180" s="9">
        <v>4</v>
      </c>
      <c r="J180" s="9" t="s">
        <v>70</v>
      </c>
      <c r="K180" s="9">
        <v>31.85</v>
      </c>
      <c r="L180" s="45">
        <v>5.5199999999999999E-2</v>
      </c>
      <c r="O180" s="9">
        <v>4</v>
      </c>
      <c r="P180" s="9" t="s">
        <v>71</v>
      </c>
      <c r="Q180" s="9">
        <v>4.34</v>
      </c>
      <c r="R180" s="45">
        <v>6.4299999999999996E-2</v>
      </c>
      <c r="S180" s="15"/>
      <c r="T180" s="9">
        <v>4</v>
      </c>
      <c r="U180" s="9" t="s">
        <v>127</v>
      </c>
      <c r="V180" s="9">
        <v>1.08</v>
      </c>
      <c r="W180" s="45">
        <v>6.5500000000000003E-2</v>
      </c>
      <c r="X180" s="43"/>
      <c r="Y180" s="15"/>
      <c r="Z180" s="44"/>
      <c r="AA180" s="15"/>
      <c r="AB180" s="15"/>
      <c r="AC180" s="15"/>
      <c r="AD180" s="43"/>
      <c r="AE180" s="15"/>
      <c r="AF180" s="44"/>
      <c r="AG180" s="15"/>
      <c r="AH180" s="15"/>
      <c r="AI180" s="15"/>
      <c r="AJ180" s="15"/>
      <c r="AK180" s="44"/>
      <c r="AL180" s="16"/>
    </row>
    <row r="181" spans="2:38" ht="14" customHeight="1" x14ac:dyDescent="0.25">
      <c r="B181" s="9">
        <v>5</v>
      </c>
      <c r="C181" s="9" t="s">
        <v>73</v>
      </c>
      <c r="D181" s="9">
        <v>3.26</v>
      </c>
      <c r="E181" s="45">
        <v>3.8800000000000001E-2</v>
      </c>
      <c r="F181" s="9"/>
      <c r="I181" s="9">
        <v>5</v>
      </c>
      <c r="J181" s="9" t="s">
        <v>73</v>
      </c>
      <c r="K181" s="9">
        <v>23.87</v>
      </c>
      <c r="L181" s="45">
        <v>4.1399999999999999E-2</v>
      </c>
      <c r="O181" s="9">
        <v>5</v>
      </c>
      <c r="P181" s="9" t="s">
        <v>73</v>
      </c>
      <c r="Q181" s="9">
        <v>3.2</v>
      </c>
      <c r="R181" s="45">
        <v>4.7399999999999998E-2</v>
      </c>
      <c r="S181" s="15"/>
      <c r="T181" s="9">
        <v>5</v>
      </c>
      <c r="U181" s="9" t="s">
        <v>323</v>
      </c>
      <c r="V181" s="9">
        <v>0.22</v>
      </c>
      <c r="W181" s="45">
        <v>1.35E-2</v>
      </c>
      <c r="X181" s="43"/>
      <c r="Y181" s="15"/>
      <c r="Z181" s="44"/>
      <c r="AA181" s="15"/>
      <c r="AB181" s="15"/>
      <c r="AC181" s="15"/>
      <c r="AD181" s="43"/>
      <c r="AE181" s="15"/>
      <c r="AF181" s="44"/>
      <c r="AG181" s="15"/>
      <c r="AH181" s="15"/>
      <c r="AI181" s="15"/>
      <c r="AJ181" s="15"/>
      <c r="AK181" s="44"/>
      <c r="AL181" s="16"/>
    </row>
    <row r="182" spans="2:38" ht="14" customHeight="1" x14ac:dyDescent="0.25">
      <c r="B182" s="9">
        <v>6</v>
      </c>
      <c r="C182" s="9" t="s">
        <v>129</v>
      </c>
      <c r="D182" s="9">
        <v>2.8</v>
      </c>
      <c r="E182" s="45">
        <v>3.3399999999999999E-2</v>
      </c>
      <c r="F182" s="9"/>
      <c r="I182" s="9">
        <v>6</v>
      </c>
      <c r="J182" s="9" t="s">
        <v>129</v>
      </c>
      <c r="K182" s="9">
        <v>19.29</v>
      </c>
      <c r="L182" s="45">
        <v>3.3399999999999999E-2</v>
      </c>
      <c r="O182" s="9">
        <v>6</v>
      </c>
      <c r="P182" s="9" t="s">
        <v>129</v>
      </c>
      <c r="Q182" s="9">
        <v>2.72</v>
      </c>
      <c r="R182" s="45">
        <v>4.0399999999999998E-2</v>
      </c>
      <c r="S182" s="15"/>
      <c r="T182" s="9">
        <v>6</v>
      </c>
      <c r="U182" s="9" t="s">
        <v>129</v>
      </c>
      <c r="V182" s="9">
        <v>0.08</v>
      </c>
      <c r="W182" s="45">
        <v>4.8999999999999998E-3</v>
      </c>
      <c r="X182" s="43"/>
      <c r="Y182" s="15"/>
      <c r="Z182" s="44"/>
      <c r="AA182" s="15"/>
      <c r="AB182" s="15"/>
      <c r="AC182" s="15"/>
      <c r="AD182" s="43"/>
      <c r="AE182" s="15"/>
      <c r="AF182" s="44"/>
      <c r="AG182" s="15"/>
      <c r="AH182" s="15"/>
      <c r="AI182" s="15"/>
      <c r="AJ182" s="15"/>
      <c r="AK182" s="44"/>
      <c r="AL182" s="16"/>
    </row>
    <row r="183" spans="2:38" ht="14" customHeight="1" x14ac:dyDescent="0.25">
      <c r="B183" s="9">
        <v>7</v>
      </c>
      <c r="C183" s="9" t="s">
        <v>74</v>
      </c>
      <c r="D183" s="9">
        <v>2.27</v>
      </c>
      <c r="E183" s="45">
        <v>2.7099999999999999E-2</v>
      </c>
      <c r="F183" s="9"/>
      <c r="I183" s="9">
        <v>7</v>
      </c>
      <c r="J183" s="9" t="s">
        <v>74</v>
      </c>
      <c r="K183" s="9">
        <v>16.3</v>
      </c>
      <c r="L183" s="45">
        <v>2.8299999999999999E-2</v>
      </c>
      <c r="O183" s="9">
        <v>7</v>
      </c>
      <c r="P183" s="9" t="s">
        <v>322</v>
      </c>
      <c r="Q183" s="9">
        <v>2.21</v>
      </c>
      <c r="R183" s="45">
        <v>3.2800000000000003E-2</v>
      </c>
      <c r="S183" s="15"/>
      <c r="T183" s="9">
        <v>7</v>
      </c>
      <c r="U183" s="9" t="s">
        <v>73</v>
      </c>
      <c r="V183" s="9">
        <v>0.06</v>
      </c>
      <c r="W183" s="45">
        <v>3.5999999999999999E-3</v>
      </c>
      <c r="X183" s="43"/>
      <c r="Y183" s="15"/>
      <c r="Z183" s="44"/>
      <c r="AA183" s="15"/>
      <c r="AB183" s="15"/>
      <c r="AC183" s="15"/>
      <c r="AD183" s="43"/>
      <c r="AE183" s="15"/>
      <c r="AF183" s="44"/>
      <c r="AG183" s="15"/>
      <c r="AH183" s="15"/>
      <c r="AI183" s="15"/>
      <c r="AJ183" s="15"/>
      <c r="AK183" s="44"/>
      <c r="AL183" s="16"/>
    </row>
    <row r="184" spans="2:38" ht="14" customHeight="1" x14ac:dyDescent="0.25">
      <c r="B184" s="9">
        <v>8</v>
      </c>
      <c r="C184" s="9" t="s">
        <v>322</v>
      </c>
      <c r="D184" s="9">
        <v>2.21</v>
      </c>
      <c r="E184" s="45">
        <v>2.63E-2</v>
      </c>
      <c r="F184" s="9"/>
      <c r="I184" s="9">
        <v>8</v>
      </c>
      <c r="J184" s="9" t="s">
        <v>322</v>
      </c>
      <c r="K184" s="9">
        <v>13.66</v>
      </c>
      <c r="L184" s="45">
        <v>2.3699999999999999E-2</v>
      </c>
      <c r="O184" s="9">
        <v>8</v>
      </c>
      <c r="P184" s="9" t="s">
        <v>323</v>
      </c>
      <c r="Q184" s="9">
        <v>1.79</v>
      </c>
      <c r="R184" s="45">
        <v>2.6499999999999999E-2</v>
      </c>
      <c r="S184" s="15"/>
      <c r="T184" s="9">
        <v>8</v>
      </c>
      <c r="U184" s="9" t="s">
        <v>70</v>
      </c>
      <c r="V184" s="9">
        <v>0.04</v>
      </c>
      <c r="W184" s="45">
        <v>2.5000000000000001E-3</v>
      </c>
      <c r="X184" s="43"/>
      <c r="Y184" s="15"/>
      <c r="Z184" s="44"/>
      <c r="AA184" s="15"/>
      <c r="AB184" s="15"/>
      <c r="AC184" s="15"/>
      <c r="AD184" s="43"/>
      <c r="AE184" s="15"/>
      <c r="AF184" s="44"/>
      <c r="AG184" s="15"/>
      <c r="AH184" s="15"/>
      <c r="AI184" s="15"/>
      <c r="AJ184" s="15"/>
      <c r="AK184" s="44"/>
      <c r="AL184" s="16"/>
    </row>
    <row r="185" spans="2:38" ht="14" customHeight="1" x14ac:dyDescent="0.25">
      <c r="B185" s="9">
        <v>9</v>
      </c>
      <c r="C185" s="9" t="s">
        <v>323</v>
      </c>
      <c r="D185" s="9">
        <v>2.0099999999999998</v>
      </c>
      <c r="E185" s="45">
        <v>2.3900000000000001E-2</v>
      </c>
      <c r="F185" s="9"/>
      <c r="I185" s="9">
        <v>9</v>
      </c>
      <c r="J185" s="9" t="s">
        <v>323</v>
      </c>
      <c r="K185" s="9">
        <v>13.06</v>
      </c>
      <c r="L185" s="45">
        <v>2.2599999999999999E-2</v>
      </c>
      <c r="O185" s="9">
        <v>9</v>
      </c>
      <c r="P185" s="9" t="s">
        <v>327</v>
      </c>
      <c r="Q185" s="9">
        <v>1.65</v>
      </c>
      <c r="R185" s="45">
        <v>2.4500000000000001E-2</v>
      </c>
      <c r="S185" s="15"/>
      <c r="T185" s="9">
        <v>9</v>
      </c>
      <c r="U185" s="9" t="s">
        <v>339</v>
      </c>
      <c r="V185" s="9">
        <v>0.04</v>
      </c>
      <c r="W185" s="45">
        <v>2.3E-3</v>
      </c>
      <c r="X185" s="43"/>
      <c r="Y185" s="15"/>
      <c r="Z185" s="44"/>
      <c r="AA185" s="15"/>
      <c r="AB185" s="15"/>
      <c r="AC185" s="15"/>
      <c r="AD185" s="43"/>
      <c r="AE185" s="15"/>
      <c r="AF185" s="44"/>
      <c r="AG185" s="15"/>
      <c r="AH185" s="15"/>
      <c r="AI185" s="15"/>
      <c r="AJ185" s="15"/>
      <c r="AK185" s="44"/>
      <c r="AL185" s="16"/>
    </row>
    <row r="186" spans="2:38" ht="14" customHeight="1" x14ac:dyDescent="0.25">
      <c r="B186" s="9">
        <v>10</v>
      </c>
      <c r="C186" s="9" t="s">
        <v>327</v>
      </c>
      <c r="D186" s="9">
        <v>1.65</v>
      </c>
      <c r="E186" s="45">
        <v>1.9699999999999999E-2</v>
      </c>
      <c r="F186" s="9"/>
      <c r="I186" s="9">
        <v>10</v>
      </c>
      <c r="J186" s="9" t="s">
        <v>327</v>
      </c>
      <c r="K186" s="9">
        <v>11.05</v>
      </c>
      <c r="L186" s="45">
        <v>1.9199999999999998E-2</v>
      </c>
      <c r="O186" s="9">
        <v>10</v>
      </c>
      <c r="P186" s="9" t="s">
        <v>74</v>
      </c>
      <c r="Q186" s="9">
        <v>0.86</v>
      </c>
      <c r="R186" s="45">
        <v>1.2699999999999999E-2</v>
      </c>
      <c r="S186" s="15"/>
      <c r="T186" s="9">
        <v>10</v>
      </c>
      <c r="U186" s="9" t="s">
        <v>25</v>
      </c>
      <c r="V186" s="9">
        <v>1.6E-2</v>
      </c>
      <c r="W186" s="45">
        <v>1E-3</v>
      </c>
      <c r="X186" s="43"/>
      <c r="Y186" s="15"/>
      <c r="Z186" s="44"/>
      <c r="AA186" s="15"/>
      <c r="AB186" s="15"/>
      <c r="AC186" s="15"/>
      <c r="AD186" s="43"/>
      <c r="AE186" s="15"/>
      <c r="AF186" s="44"/>
      <c r="AG186" s="15"/>
      <c r="AH186" s="15"/>
      <c r="AI186" s="15"/>
      <c r="AJ186" s="15"/>
      <c r="AK186" s="44"/>
      <c r="AL186" s="16"/>
    </row>
    <row r="187" spans="2:38" ht="14" customHeight="1" x14ac:dyDescent="0.25">
      <c r="B187" s="9">
        <v>11</v>
      </c>
      <c r="C187" s="9" t="s">
        <v>127</v>
      </c>
      <c r="D187" s="9">
        <v>1.08</v>
      </c>
      <c r="E187" s="45">
        <v>1.29E-2</v>
      </c>
      <c r="F187" s="9"/>
      <c r="I187" s="9">
        <v>11</v>
      </c>
      <c r="J187" s="9" t="s">
        <v>127</v>
      </c>
      <c r="K187" s="9">
        <v>8.27</v>
      </c>
      <c r="L187" s="45">
        <v>1.43E-2</v>
      </c>
      <c r="O187" s="9">
        <v>11</v>
      </c>
      <c r="P187" s="9" t="s">
        <v>348</v>
      </c>
      <c r="Q187" s="9">
        <v>0.57999999999999996</v>
      </c>
      <c r="R187" s="45">
        <v>8.6E-3</v>
      </c>
      <c r="S187" s="15"/>
      <c r="T187" s="9">
        <v>11</v>
      </c>
      <c r="U187" s="9" t="s">
        <v>357</v>
      </c>
      <c r="V187" s="9">
        <v>5.0000000000000001E-3</v>
      </c>
      <c r="W187" s="45">
        <v>2.9999999999999997E-4</v>
      </c>
      <c r="X187" s="43"/>
      <c r="Y187" s="15"/>
      <c r="Z187" s="44"/>
      <c r="AA187" s="15"/>
      <c r="AB187" s="15"/>
      <c r="AC187" s="15"/>
      <c r="AD187" s="43"/>
      <c r="AE187" s="15"/>
      <c r="AF187" s="44"/>
      <c r="AG187" s="15"/>
      <c r="AH187" s="15"/>
      <c r="AI187" s="15"/>
      <c r="AJ187" s="15"/>
      <c r="AK187" s="44"/>
      <c r="AL187" s="16"/>
    </row>
    <row r="188" spans="2:38" ht="14" customHeight="1" x14ac:dyDescent="0.25">
      <c r="B188" s="9">
        <v>12</v>
      </c>
      <c r="C188" s="9" t="s">
        <v>348</v>
      </c>
      <c r="D188" s="9">
        <v>0.57999999999999996</v>
      </c>
      <c r="E188" s="45">
        <v>6.8999999999999999E-3</v>
      </c>
      <c r="F188" s="9"/>
      <c r="I188" s="9">
        <v>12</v>
      </c>
      <c r="J188" s="9" t="s">
        <v>325</v>
      </c>
      <c r="K188" s="9">
        <v>5.05</v>
      </c>
      <c r="L188" s="45">
        <v>8.6999999999999994E-3</v>
      </c>
      <c r="O188" s="9">
        <v>12</v>
      </c>
      <c r="P188" s="9" t="s">
        <v>326</v>
      </c>
      <c r="Q188" s="9">
        <v>0.51</v>
      </c>
      <c r="R188" s="45">
        <v>7.6E-3</v>
      </c>
      <c r="S188" s="15"/>
      <c r="T188" s="9">
        <v>12</v>
      </c>
      <c r="U188" s="9" t="s">
        <v>326</v>
      </c>
      <c r="V188" s="9">
        <v>3.0000000000000001E-3</v>
      </c>
      <c r="W188" s="45">
        <v>2.0000000000000001E-4</v>
      </c>
      <c r="X188" s="43"/>
      <c r="Y188" s="15"/>
      <c r="Z188" s="44"/>
      <c r="AA188" s="15"/>
      <c r="AB188" s="15"/>
      <c r="AC188" s="15"/>
      <c r="AD188" s="43"/>
      <c r="AE188" s="15"/>
      <c r="AF188" s="44"/>
      <c r="AG188" s="15"/>
      <c r="AH188" s="15"/>
      <c r="AI188" s="15"/>
      <c r="AJ188" s="15"/>
      <c r="AK188" s="44"/>
      <c r="AL188" s="16"/>
    </row>
    <row r="189" spans="2:38" ht="14" customHeight="1" x14ac:dyDescent="0.25">
      <c r="B189" s="9">
        <v>13</v>
      </c>
      <c r="C189" s="9" t="s">
        <v>326</v>
      </c>
      <c r="D189" s="9">
        <v>0.52</v>
      </c>
      <c r="E189" s="45">
        <v>6.1999999999999998E-3</v>
      </c>
      <c r="F189" s="9"/>
      <c r="I189" s="9">
        <v>13</v>
      </c>
      <c r="J189" s="9" t="s">
        <v>348</v>
      </c>
      <c r="K189" s="9">
        <v>4.24</v>
      </c>
      <c r="L189" s="45">
        <v>7.3000000000000001E-3</v>
      </c>
      <c r="O189" s="43">
        <v>13</v>
      </c>
      <c r="P189" s="15" t="s">
        <v>358</v>
      </c>
      <c r="Q189" s="15">
        <v>0.43</v>
      </c>
      <c r="R189" s="16">
        <v>6.4000000000000003E-3</v>
      </c>
      <c r="S189" s="15"/>
      <c r="T189" s="9">
        <v>13</v>
      </c>
      <c r="U189" s="9" t="s">
        <v>69</v>
      </c>
      <c r="V189" s="9">
        <v>0</v>
      </c>
      <c r="W189" s="45">
        <v>0</v>
      </c>
      <c r="X189" s="43"/>
      <c r="Y189" s="15"/>
      <c r="Z189" s="44"/>
      <c r="AA189" s="15"/>
      <c r="AB189" s="15"/>
      <c r="AC189" s="15"/>
      <c r="AD189" s="43"/>
      <c r="AE189" s="15"/>
      <c r="AF189" s="44"/>
      <c r="AG189" s="15"/>
      <c r="AH189" s="15"/>
      <c r="AI189" s="15"/>
      <c r="AJ189" s="15"/>
      <c r="AK189" s="44"/>
      <c r="AL189" s="16"/>
    </row>
    <row r="190" spans="2:38" ht="14" customHeight="1" x14ac:dyDescent="0.25">
      <c r="B190" s="9">
        <v>14</v>
      </c>
      <c r="C190" s="9" t="s">
        <v>345</v>
      </c>
      <c r="D190" s="9">
        <v>0.43</v>
      </c>
      <c r="E190" s="45">
        <v>5.1000000000000004E-3</v>
      </c>
      <c r="F190" s="9"/>
      <c r="I190" s="9">
        <v>14</v>
      </c>
      <c r="J190" s="9" t="s">
        <v>326</v>
      </c>
      <c r="K190" s="9">
        <v>3.72</v>
      </c>
      <c r="L190" s="45">
        <v>6.4999999999999997E-3</v>
      </c>
      <c r="O190" s="43">
        <v>14</v>
      </c>
      <c r="P190" s="15" t="s">
        <v>355</v>
      </c>
      <c r="Q190" s="15">
        <v>0.39</v>
      </c>
      <c r="R190" s="16">
        <v>5.7000000000000002E-3</v>
      </c>
      <c r="S190" s="15"/>
      <c r="T190" s="9">
        <v>14</v>
      </c>
      <c r="U190" s="9" t="s">
        <v>363</v>
      </c>
      <c r="V190" s="9">
        <v>0</v>
      </c>
      <c r="W190" s="45">
        <v>0</v>
      </c>
      <c r="X190" s="43"/>
      <c r="Y190" s="15"/>
      <c r="Z190" s="44"/>
      <c r="AA190" s="15"/>
      <c r="AB190" s="15"/>
      <c r="AC190" s="15"/>
      <c r="AD190" s="43"/>
      <c r="AE190" s="15"/>
      <c r="AF190" s="44"/>
      <c r="AG190" s="15"/>
      <c r="AH190" s="15"/>
      <c r="AI190" s="15"/>
      <c r="AJ190" s="15"/>
      <c r="AK190" s="44"/>
      <c r="AL190" s="16"/>
    </row>
    <row r="191" spans="2:38" ht="14" customHeight="1" x14ac:dyDescent="0.25">
      <c r="B191" s="9">
        <v>15</v>
      </c>
      <c r="C191" s="9" t="s">
        <v>339</v>
      </c>
      <c r="D191" s="9">
        <v>0.42</v>
      </c>
      <c r="E191" s="45">
        <v>5.0000000000000001E-3</v>
      </c>
      <c r="F191" s="9"/>
      <c r="I191" s="9">
        <v>15</v>
      </c>
      <c r="J191" s="9" t="s">
        <v>343</v>
      </c>
      <c r="K191" s="9">
        <v>2.95</v>
      </c>
      <c r="L191" s="45">
        <v>5.1000000000000004E-3</v>
      </c>
      <c r="O191" s="43">
        <v>15</v>
      </c>
      <c r="P191" s="15" t="s">
        <v>328</v>
      </c>
      <c r="Q191" s="15">
        <v>0.28999999999999998</v>
      </c>
      <c r="R191" s="16">
        <v>4.3E-3</v>
      </c>
      <c r="S191" s="15"/>
      <c r="T191" s="9">
        <v>15</v>
      </c>
      <c r="U191" s="9" t="s">
        <v>72</v>
      </c>
      <c r="V191" s="9">
        <v>0</v>
      </c>
      <c r="W191" s="45">
        <v>0</v>
      </c>
      <c r="X191" s="43"/>
      <c r="Y191" s="15"/>
      <c r="Z191" s="44"/>
      <c r="AA191" s="15"/>
      <c r="AB191" s="15"/>
      <c r="AC191" s="15"/>
      <c r="AD191" s="43"/>
      <c r="AE191" s="15"/>
      <c r="AF191" s="44"/>
      <c r="AG191" s="15"/>
      <c r="AH191" s="15"/>
      <c r="AI191" s="15"/>
      <c r="AJ191" s="15"/>
      <c r="AK191" s="44"/>
      <c r="AL191" s="16"/>
    </row>
    <row r="192" spans="2:38" ht="14" customHeight="1" x14ac:dyDescent="0.25">
      <c r="D192" s="43"/>
      <c r="J192" s="43"/>
      <c r="O192" s="43"/>
      <c r="P192" s="15"/>
      <c r="Q192" s="15"/>
      <c r="R192" s="15"/>
      <c r="S192" s="15"/>
      <c r="T192" s="15"/>
      <c r="U192" s="15"/>
      <c r="V192" s="15"/>
      <c r="W192" s="15"/>
      <c r="X192" s="43"/>
      <c r="Y192" s="15"/>
      <c r="Z192" s="44"/>
      <c r="AA192" s="15"/>
      <c r="AB192" s="15"/>
      <c r="AC192" s="15"/>
      <c r="AD192" s="43"/>
      <c r="AE192" s="15"/>
      <c r="AF192" s="44"/>
      <c r="AG192" s="15"/>
      <c r="AH192" s="15"/>
      <c r="AI192" s="15"/>
      <c r="AJ192" s="15"/>
      <c r="AK192" s="44"/>
      <c r="AL192" s="16"/>
    </row>
    <row r="193" spans="2:38" ht="14" customHeight="1" x14ac:dyDescent="0.25">
      <c r="B193" s="15" t="s">
        <v>364</v>
      </c>
      <c r="D193" s="43"/>
      <c r="I193" s="15" t="s">
        <v>365</v>
      </c>
      <c r="O193" s="25" t="s">
        <v>366</v>
      </c>
      <c r="T193" s="25" t="s">
        <v>367</v>
      </c>
      <c r="X193" s="227"/>
      <c r="Y193" s="46"/>
      <c r="Z193" s="47"/>
      <c r="AD193" s="227"/>
      <c r="AF193" s="47"/>
      <c r="AK193" s="228"/>
      <c r="AL193" s="47"/>
    </row>
    <row r="194" spans="2:38" ht="14" customHeight="1" x14ac:dyDescent="0.25">
      <c r="B194" s="9" t="s">
        <v>334</v>
      </c>
      <c r="C194" s="9" t="s">
        <v>335</v>
      </c>
      <c r="D194" s="9" t="s">
        <v>368</v>
      </c>
      <c r="E194" s="9" t="s">
        <v>338</v>
      </c>
      <c r="F194" s="9"/>
      <c r="I194" s="9" t="s">
        <v>334</v>
      </c>
      <c r="J194" s="9" t="s">
        <v>335</v>
      </c>
      <c r="K194" s="9" t="s">
        <v>368</v>
      </c>
      <c r="L194" s="9" t="s">
        <v>338</v>
      </c>
      <c r="O194" s="9" t="s">
        <v>334</v>
      </c>
      <c r="P194" s="9" t="s">
        <v>335</v>
      </c>
      <c r="Q194" s="9" t="s">
        <v>336</v>
      </c>
      <c r="R194" s="9" t="s">
        <v>337</v>
      </c>
      <c r="S194" s="15"/>
      <c r="T194" s="9" t="s">
        <v>334</v>
      </c>
      <c r="U194" s="9" t="s">
        <v>335</v>
      </c>
      <c r="V194" s="9" t="s">
        <v>336</v>
      </c>
      <c r="W194" s="9" t="s">
        <v>337</v>
      </c>
      <c r="X194" s="43"/>
      <c r="Y194" s="15"/>
      <c r="Z194" s="44"/>
      <c r="AA194" s="15"/>
      <c r="AB194" s="15"/>
      <c r="AC194" s="15"/>
      <c r="AD194" s="43"/>
      <c r="AE194" s="15"/>
      <c r="AF194" s="44"/>
      <c r="AG194" s="15"/>
      <c r="AH194" s="15"/>
      <c r="AI194" s="15"/>
      <c r="AJ194" s="15"/>
      <c r="AK194" s="44"/>
      <c r="AL194" s="16"/>
    </row>
    <row r="195" spans="2:38" ht="14" customHeight="1" x14ac:dyDescent="0.25">
      <c r="B195" s="9">
        <v>1</v>
      </c>
      <c r="C195" s="9" t="s">
        <v>68</v>
      </c>
      <c r="D195" s="9">
        <v>32.51</v>
      </c>
      <c r="E195" s="45">
        <v>0.42809999999999998</v>
      </c>
      <c r="F195" s="9"/>
      <c r="I195" s="9">
        <v>1</v>
      </c>
      <c r="J195" s="9" t="s">
        <v>68</v>
      </c>
      <c r="K195" s="9">
        <v>210.67</v>
      </c>
      <c r="L195" s="45">
        <v>0.42749999999999999</v>
      </c>
      <c r="O195" s="9">
        <v>1</v>
      </c>
      <c r="P195" s="9" t="s">
        <v>68</v>
      </c>
      <c r="Q195" s="9">
        <v>9.64</v>
      </c>
      <c r="R195" s="45">
        <v>0.69799999999999995</v>
      </c>
      <c r="S195" s="15"/>
      <c r="T195" s="9">
        <v>1</v>
      </c>
      <c r="U195" s="9" t="s">
        <v>68</v>
      </c>
      <c r="V195" s="9">
        <v>22.86</v>
      </c>
      <c r="W195" s="45">
        <v>0.36820000000000003</v>
      </c>
      <c r="X195" s="43"/>
      <c r="Y195" s="15"/>
      <c r="Z195" s="44"/>
      <c r="AA195" s="15"/>
      <c r="AB195" s="15"/>
      <c r="AC195" s="15"/>
      <c r="AD195" s="43"/>
      <c r="AE195" s="15"/>
      <c r="AF195" s="44"/>
      <c r="AG195" s="15"/>
      <c r="AH195" s="15"/>
      <c r="AI195" s="15"/>
      <c r="AJ195" s="15"/>
      <c r="AK195" s="44"/>
      <c r="AL195" s="16"/>
    </row>
    <row r="196" spans="2:38" ht="14" customHeight="1" x14ac:dyDescent="0.25">
      <c r="B196" s="9">
        <v>2</v>
      </c>
      <c r="C196" s="9" t="s">
        <v>69</v>
      </c>
      <c r="D196" s="9">
        <v>16</v>
      </c>
      <c r="E196" s="45">
        <v>0.2107</v>
      </c>
      <c r="F196" s="9"/>
      <c r="I196" s="9">
        <v>2</v>
      </c>
      <c r="J196" s="9" t="s">
        <v>69</v>
      </c>
      <c r="K196" s="9">
        <v>111.21</v>
      </c>
      <c r="L196" s="45">
        <v>0.22570000000000001</v>
      </c>
      <c r="O196" s="9">
        <v>2</v>
      </c>
      <c r="P196" s="9" t="s">
        <v>71</v>
      </c>
      <c r="Q196" s="9">
        <v>1.42</v>
      </c>
      <c r="R196" s="45">
        <v>0.1031</v>
      </c>
      <c r="S196" s="15"/>
      <c r="T196" s="9">
        <v>2</v>
      </c>
      <c r="U196" s="9" t="s">
        <v>69</v>
      </c>
      <c r="V196" s="9">
        <v>16</v>
      </c>
      <c r="W196" s="45">
        <v>0.2576</v>
      </c>
      <c r="X196" s="43"/>
      <c r="Y196" s="15"/>
      <c r="Z196" s="44"/>
      <c r="AA196" s="15"/>
      <c r="AB196" s="15"/>
      <c r="AC196" s="15"/>
      <c r="AD196" s="43"/>
      <c r="AE196" s="15"/>
      <c r="AF196" s="44"/>
      <c r="AG196" s="15"/>
      <c r="AH196" s="15"/>
      <c r="AI196" s="15"/>
      <c r="AJ196" s="15"/>
      <c r="AK196" s="44"/>
      <c r="AL196" s="16"/>
    </row>
    <row r="197" spans="2:38" ht="14" customHeight="1" x14ac:dyDescent="0.25">
      <c r="B197" s="9">
        <v>3</v>
      </c>
      <c r="C197" s="9" t="s">
        <v>71</v>
      </c>
      <c r="D197" s="9">
        <v>5.6</v>
      </c>
      <c r="E197" s="45">
        <v>7.3800000000000004E-2</v>
      </c>
      <c r="F197" s="9"/>
      <c r="I197" s="9">
        <v>3</v>
      </c>
      <c r="J197" s="9" t="s">
        <v>71</v>
      </c>
      <c r="K197" s="9">
        <v>34.78</v>
      </c>
      <c r="L197" s="45">
        <v>7.0599999999999996E-2</v>
      </c>
      <c r="O197" s="9">
        <v>3</v>
      </c>
      <c r="P197" s="9" t="s">
        <v>127</v>
      </c>
      <c r="Q197" s="9">
        <v>1.33</v>
      </c>
      <c r="R197" s="45">
        <v>9.64E-2</v>
      </c>
      <c r="S197" s="15"/>
      <c r="T197" s="9">
        <v>3</v>
      </c>
      <c r="U197" s="9" t="s">
        <v>70</v>
      </c>
      <c r="V197" s="9">
        <v>4.3899999999999997</v>
      </c>
      <c r="W197" s="45">
        <v>7.0699999999999999E-2</v>
      </c>
      <c r="X197" s="43"/>
      <c r="Y197" s="15"/>
      <c r="Z197" s="44"/>
      <c r="AA197" s="15"/>
      <c r="AB197" s="15"/>
      <c r="AC197" s="15"/>
      <c r="AD197" s="43"/>
      <c r="AE197" s="15"/>
      <c r="AF197" s="44"/>
      <c r="AG197" s="15"/>
      <c r="AH197" s="15"/>
      <c r="AI197" s="15"/>
      <c r="AJ197" s="15"/>
      <c r="AK197" s="44"/>
      <c r="AL197" s="16"/>
    </row>
    <row r="198" spans="2:38" ht="14" customHeight="1" x14ac:dyDescent="0.25">
      <c r="B198" s="9">
        <v>4</v>
      </c>
      <c r="C198" s="9" t="s">
        <v>70</v>
      </c>
      <c r="D198" s="9">
        <v>4.42</v>
      </c>
      <c r="E198" s="45">
        <v>5.8299999999999998E-2</v>
      </c>
      <c r="F198" s="9"/>
      <c r="I198" s="9">
        <v>4</v>
      </c>
      <c r="J198" s="9" t="s">
        <v>70</v>
      </c>
      <c r="K198" s="9">
        <v>26.27</v>
      </c>
      <c r="L198" s="45">
        <v>5.33E-2</v>
      </c>
      <c r="O198" s="9">
        <v>4</v>
      </c>
      <c r="P198" s="9" t="s">
        <v>74</v>
      </c>
      <c r="Q198" s="9">
        <v>1.1000000000000001</v>
      </c>
      <c r="R198" s="45">
        <v>7.9799999999999996E-2</v>
      </c>
      <c r="S198" s="15"/>
      <c r="T198" s="9">
        <v>4</v>
      </c>
      <c r="U198" s="9" t="s">
        <v>71</v>
      </c>
      <c r="V198" s="9">
        <v>4.18</v>
      </c>
      <c r="W198" s="45">
        <v>6.7299999999999999E-2</v>
      </c>
      <c r="X198" s="43"/>
      <c r="Y198" s="15"/>
      <c r="Z198" s="44"/>
      <c r="AA198" s="15"/>
      <c r="AB198" s="15"/>
      <c r="AC198" s="15"/>
      <c r="AD198" s="43"/>
      <c r="AE198" s="15"/>
      <c r="AF198" s="44"/>
      <c r="AG198" s="15"/>
      <c r="AH198" s="15"/>
      <c r="AI198" s="15"/>
      <c r="AJ198" s="15"/>
      <c r="AK198" s="44"/>
      <c r="AL198" s="16"/>
    </row>
    <row r="199" spans="2:38" ht="14" customHeight="1" x14ac:dyDescent="0.25">
      <c r="B199" s="9">
        <v>5</v>
      </c>
      <c r="C199" s="9" t="s">
        <v>73</v>
      </c>
      <c r="D199" s="9">
        <v>3.11</v>
      </c>
      <c r="E199" s="45">
        <v>4.1000000000000002E-2</v>
      </c>
      <c r="F199" s="9"/>
      <c r="I199" s="9">
        <v>5</v>
      </c>
      <c r="J199" s="9" t="s">
        <v>73</v>
      </c>
      <c r="K199" s="9">
        <v>20.61</v>
      </c>
      <c r="L199" s="45">
        <v>4.1799999999999997E-2</v>
      </c>
      <c r="O199" s="9">
        <v>5</v>
      </c>
      <c r="P199" s="9" t="s">
        <v>323</v>
      </c>
      <c r="Q199" s="9">
        <v>0.19</v>
      </c>
      <c r="R199" s="45">
        <v>1.3899999999999999E-2</v>
      </c>
      <c r="S199" s="15"/>
      <c r="T199" s="9">
        <v>5</v>
      </c>
      <c r="U199" s="9" t="s">
        <v>73</v>
      </c>
      <c r="V199" s="9">
        <v>3.1</v>
      </c>
      <c r="W199" s="45">
        <v>4.99E-2</v>
      </c>
      <c r="X199" s="43"/>
      <c r="Y199" s="15"/>
      <c r="Z199" s="44"/>
      <c r="AA199" s="15"/>
      <c r="AB199" s="15"/>
      <c r="AC199" s="15"/>
      <c r="AD199" s="43"/>
      <c r="AE199" s="15"/>
      <c r="AF199" s="44"/>
      <c r="AG199" s="15"/>
      <c r="AH199" s="15"/>
      <c r="AI199" s="15"/>
      <c r="AJ199" s="15"/>
      <c r="AK199" s="44"/>
      <c r="AL199" s="16"/>
    </row>
    <row r="200" spans="2:38" ht="14" customHeight="1" x14ac:dyDescent="0.25">
      <c r="B200" s="9">
        <v>6</v>
      </c>
      <c r="C200" s="9" t="s">
        <v>129</v>
      </c>
      <c r="D200" s="9">
        <v>2.73</v>
      </c>
      <c r="E200" s="45">
        <v>3.5999999999999997E-2</v>
      </c>
      <c r="F200" s="9"/>
      <c r="I200" s="9">
        <v>6</v>
      </c>
      <c r="J200" s="9" t="s">
        <v>129</v>
      </c>
      <c r="K200" s="9">
        <v>16.489999999999998</v>
      </c>
      <c r="L200" s="45">
        <v>3.3500000000000002E-2</v>
      </c>
      <c r="O200" s="9">
        <v>6</v>
      </c>
      <c r="P200" s="9" t="s">
        <v>129</v>
      </c>
      <c r="Q200" s="9">
        <v>0.04</v>
      </c>
      <c r="R200" s="45">
        <v>2.5999999999999999E-3</v>
      </c>
      <c r="S200" s="15"/>
      <c r="T200" s="9">
        <v>6</v>
      </c>
      <c r="U200" s="9" t="s">
        <v>129</v>
      </c>
      <c r="V200" s="9">
        <v>2.69</v>
      </c>
      <c r="W200" s="45">
        <v>4.3400000000000001E-2</v>
      </c>
      <c r="X200" s="43"/>
      <c r="Y200" s="15"/>
      <c r="Z200" s="44"/>
      <c r="AA200" s="15"/>
      <c r="AB200" s="15"/>
      <c r="AC200" s="15"/>
      <c r="AD200" s="43"/>
      <c r="AE200" s="15"/>
      <c r="AF200" s="44"/>
      <c r="AG200" s="15"/>
      <c r="AH200" s="15"/>
      <c r="AI200" s="15"/>
      <c r="AJ200" s="15"/>
      <c r="AK200" s="44"/>
      <c r="AL200" s="16"/>
    </row>
    <row r="201" spans="2:38" ht="14" customHeight="1" x14ac:dyDescent="0.25">
      <c r="B201" s="9">
        <v>7</v>
      </c>
      <c r="C201" s="9" t="s">
        <v>341</v>
      </c>
      <c r="D201" s="9">
        <v>2.19</v>
      </c>
      <c r="E201" s="45">
        <v>2.8799999999999999E-2</v>
      </c>
      <c r="F201" s="9"/>
      <c r="I201" s="9">
        <v>7</v>
      </c>
      <c r="J201" s="9" t="s">
        <v>74</v>
      </c>
      <c r="K201" s="9">
        <v>14.02</v>
      </c>
      <c r="L201" s="45">
        <v>2.8500000000000001E-2</v>
      </c>
      <c r="O201" s="9">
        <v>7</v>
      </c>
      <c r="P201" s="9" t="s">
        <v>70</v>
      </c>
      <c r="Q201" s="9">
        <v>0.03</v>
      </c>
      <c r="R201" s="45">
        <v>2.5000000000000001E-3</v>
      </c>
      <c r="S201" s="15"/>
      <c r="T201" s="9">
        <v>7</v>
      </c>
      <c r="U201" s="9" t="s">
        <v>322</v>
      </c>
      <c r="V201" s="9">
        <v>2.06</v>
      </c>
      <c r="W201" s="45">
        <v>3.3099999999999997E-2</v>
      </c>
      <c r="X201" s="43"/>
      <c r="Y201" s="15"/>
      <c r="Z201" s="44"/>
      <c r="AA201" s="15"/>
      <c r="AB201" s="15"/>
      <c r="AC201" s="15"/>
      <c r="AD201" s="43"/>
      <c r="AE201" s="15"/>
      <c r="AF201" s="44"/>
      <c r="AG201" s="15"/>
      <c r="AH201" s="15"/>
      <c r="AI201" s="15"/>
      <c r="AJ201" s="15"/>
      <c r="AK201" s="44"/>
      <c r="AL201" s="16"/>
    </row>
    <row r="202" spans="2:38" ht="14" customHeight="1" x14ac:dyDescent="0.25">
      <c r="B202" s="9">
        <v>8</v>
      </c>
      <c r="C202" s="15" t="s">
        <v>369</v>
      </c>
      <c r="D202" s="9">
        <v>2.06</v>
      </c>
      <c r="E202" s="45">
        <v>2.7099999999999999E-2</v>
      </c>
      <c r="F202" s="9"/>
      <c r="I202" s="9">
        <v>8</v>
      </c>
      <c r="J202" s="9" t="s">
        <v>322</v>
      </c>
      <c r="K202" s="9">
        <v>11.44</v>
      </c>
      <c r="L202" s="45">
        <v>2.3199999999999998E-2</v>
      </c>
      <c r="O202" s="9">
        <v>8</v>
      </c>
      <c r="P202" s="9" t="s">
        <v>339</v>
      </c>
      <c r="Q202" s="9">
        <v>0.02</v>
      </c>
      <c r="R202" s="45">
        <v>1.4E-3</v>
      </c>
      <c r="S202" s="15"/>
      <c r="T202" s="9">
        <v>8</v>
      </c>
      <c r="U202" s="9" t="s">
        <v>323</v>
      </c>
      <c r="V202" s="9">
        <v>1.61</v>
      </c>
      <c r="W202" s="45">
        <v>2.5999999999999999E-2</v>
      </c>
      <c r="X202" s="43"/>
      <c r="Y202" s="15"/>
      <c r="Z202" s="44"/>
      <c r="AA202" s="15"/>
      <c r="AB202" s="15"/>
      <c r="AC202" s="15"/>
      <c r="AD202" s="43"/>
      <c r="AE202" s="15"/>
      <c r="AF202" s="44"/>
      <c r="AG202" s="15"/>
      <c r="AH202" s="15"/>
      <c r="AI202" s="15"/>
      <c r="AJ202" s="15"/>
      <c r="AK202" s="44"/>
      <c r="AL202" s="16"/>
    </row>
    <row r="203" spans="2:38" ht="14" customHeight="1" x14ac:dyDescent="0.25">
      <c r="B203" s="9">
        <v>9</v>
      </c>
      <c r="C203" s="15" t="s">
        <v>370</v>
      </c>
      <c r="D203" s="9">
        <v>1.81</v>
      </c>
      <c r="E203" s="45">
        <v>2.3800000000000002E-2</v>
      </c>
      <c r="F203" s="9"/>
      <c r="I203" s="9">
        <v>9</v>
      </c>
      <c r="J203" s="9" t="s">
        <v>323</v>
      </c>
      <c r="K203" s="9">
        <v>11.05</v>
      </c>
      <c r="L203" s="45">
        <v>2.24E-2</v>
      </c>
      <c r="O203" s="9">
        <v>9</v>
      </c>
      <c r="P203" s="9" t="s">
        <v>73</v>
      </c>
      <c r="Q203" s="9">
        <v>0.01</v>
      </c>
      <c r="R203" s="45">
        <v>1E-3</v>
      </c>
      <c r="S203" s="15"/>
      <c r="T203" s="9">
        <v>9</v>
      </c>
      <c r="U203" s="9" t="s">
        <v>327</v>
      </c>
      <c r="V203" s="9">
        <v>1.19</v>
      </c>
      <c r="W203" s="45">
        <v>1.9199999999999998E-2</v>
      </c>
      <c r="X203" s="43"/>
      <c r="Y203" s="15"/>
      <c r="Z203" s="44"/>
      <c r="AA203" s="15"/>
      <c r="AB203" s="15"/>
      <c r="AC203" s="15"/>
      <c r="AD203" s="43"/>
      <c r="AE203" s="15"/>
      <c r="AF203" s="44"/>
      <c r="AG203" s="15"/>
      <c r="AH203" s="15"/>
      <c r="AI203" s="15"/>
      <c r="AJ203" s="15"/>
      <c r="AK203" s="44"/>
      <c r="AL203" s="16"/>
    </row>
    <row r="204" spans="2:38" ht="14" customHeight="1" x14ac:dyDescent="0.25">
      <c r="B204" s="9">
        <v>10</v>
      </c>
      <c r="C204" s="15" t="s">
        <v>371</v>
      </c>
      <c r="D204" s="9">
        <v>1.33</v>
      </c>
      <c r="E204" s="45">
        <v>1.7500000000000002E-2</v>
      </c>
      <c r="F204" s="9"/>
      <c r="I204" s="9">
        <v>10</v>
      </c>
      <c r="J204" s="9" t="s">
        <v>327</v>
      </c>
      <c r="K204" s="9">
        <v>9.39</v>
      </c>
      <c r="L204" s="45">
        <v>1.9099999999999999E-2</v>
      </c>
      <c r="O204" s="9">
        <v>10</v>
      </c>
      <c r="P204" s="9" t="s">
        <v>25</v>
      </c>
      <c r="Q204" s="9">
        <v>1.2E-2</v>
      </c>
      <c r="R204" s="45">
        <v>8.9999999999999998E-4</v>
      </c>
      <c r="S204" s="15"/>
      <c r="T204" s="9">
        <v>10</v>
      </c>
      <c r="U204" s="9" t="s">
        <v>74</v>
      </c>
      <c r="V204" s="9">
        <v>1.08</v>
      </c>
      <c r="W204" s="45">
        <v>1.7500000000000002E-2</v>
      </c>
      <c r="X204" s="43"/>
      <c r="Y204" s="15"/>
      <c r="Z204" s="44"/>
      <c r="AA204" s="15"/>
      <c r="AB204" s="15"/>
      <c r="AC204" s="15"/>
      <c r="AD204" s="43"/>
      <c r="AE204" s="15"/>
      <c r="AF204" s="44"/>
      <c r="AG204" s="15"/>
      <c r="AH204" s="15"/>
      <c r="AI204" s="15"/>
      <c r="AJ204" s="15"/>
      <c r="AK204" s="44"/>
      <c r="AL204" s="16"/>
    </row>
    <row r="205" spans="2:38" ht="14" customHeight="1" x14ac:dyDescent="0.25">
      <c r="B205" s="9">
        <v>11</v>
      </c>
      <c r="C205" s="9" t="s">
        <v>327</v>
      </c>
      <c r="D205" s="9">
        <v>1.19</v>
      </c>
      <c r="E205" s="45">
        <v>1.5699999999999999E-2</v>
      </c>
      <c r="F205" s="9"/>
      <c r="I205" s="9">
        <v>11</v>
      </c>
      <c r="J205" s="9" t="s">
        <v>127</v>
      </c>
      <c r="K205" s="9">
        <v>7.18</v>
      </c>
      <c r="L205" s="45">
        <v>1.46E-2</v>
      </c>
      <c r="O205" s="9">
        <v>11</v>
      </c>
      <c r="P205" s="9" t="s">
        <v>357</v>
      </c>
      <c r="Q205" s="9">
        <v>8.0000000000000002E-3</v>
      </c>
      <c r="R205" s="45">
        <v>5.9999999999999995E-4</v>
      </c>
      <c r="S205" s="15"/>
      <c r="T205" s="9">
        <v>11</v>
      </c>
      <c r="U205" s="9" t="s">
        <v>372</v>
      </c>
      <c r="V205" s="9">
        <v>0.65</v>
      </c>
      <c r="W205" s="45">
        <v>1.04E-2</v>
      </c>
      <c r="X205" s="43"/>
      <c r="Y205" s="15"/>
      <c r="Z205" s="44"/>
      <c r="AA205" s="15"/>
      <c r="AB205" s="15"/>
      <c r="AC205" s="15"/>
      <c r="AD205" s="43"/>
      <c r="AE205" s="15"/>
      <c r="AF205" s="44"/>
      <c r="AG205" s="15"/>
      <c r="AH205" s="15"/>
      <c r="AI205" s="15"/>
      <c r="AJ205" s="15"/>
      <c r="AK205" s="44"/>
      <c r="AL205" s="16"/>
    </row>
    <row r="206" spans="2:38" ht="14" customHeight="1" x14ac:dyDescent="0.25">
      <c r="B206" s="9">
        <v>12</v>
      </c>
      <c r="C206" s="9" t="s">
        <v>348</v>
      </c>
      <c r="D206" s="9">
        <v>0.65</v>
      </c>
      <c r="E206" s="45">
        <v>8.5000000000000006E-3</v>
      </c>
      <c r="F206" s="9"/>
      <c r="I206" s="9">
        <v>12</v>
      </c>
      <c r="J206" s="9" t="s">
        <v>325</v>
      </c>
      <c r="K206" s="9">
        <v>4.76</v>
      </c>
      <c r="L206" s="45">
        <v>9.7000000000000003E-3</v>
      </c>
      <c r="O206" s="9">
        <v>12</v>
      </c>
      <c r="P206" s="9" t="s">
        <v>363</v>
      </c>
      <c r="Q206" s="9">
        <v>0</v>
      </c>
      <c r="R206" s="45">
        <v>0</v>
      </c>
      <c r="S206" s="15"/>
      <c r="T206" s="9">
        <v>12</v>
      </c>
      <c r="U206" s="9" t="s">
        <v>325</v>
      </c>
      <c r="V206" s="9">
        <v>0.56000000000000005</v>
      </c>
      <c r="W206" s="45">
        <v>8.9999999999999993E-3</v>
      </c>
      <c r="X206" s="43"/>
      <c r="Y206" s="15"/>
      <c r="Z206" s="44"/>
      <c r="AA206" s="15"/>
      <c r="AB206" s="15"/>
      <c r="AC206" s="15"/>
      <c r="AD206" s="43"/>
      <c r="AE206" s="15"/>
      <c r="AF206" s="44"/>
      <c r="AG206" s="15"/>
      <c r="AH206" s="15"/>
      <c r="AI206" s="15"/>
      <c r="AJ206" s="15"/>
      <c r="AK206" s="44"/>
      <c r="AL206" s="16"/>
    </row>
    <row r="207" spans="2:38" ht="14" customHeight="1" x14ac:dyDescent="0.25">
      <c r="B207" s="9">
        <v>13</v>
      </c>
      <c r="C207" s="9" t="s">
        <v>373</v>
      </c>
      <c r="D207" s="9">
        <v>0.56000000000000005</v>
      </c>
      <c r="E207" s="45">
        <v>7.3000000000000001E-3</v>
      </c>
      <c r="F207" s="9"/>
      <c r="I207" s="9">
        <v>13</v>
      </c>
      <c r="J207" s="9" t="s">
        <v>372</v>
      </c>
      <c r="K207" s="9">
        <v>3.66</v>
      </c>
      <c r="L207" s="45">
        <v>7.4000000000000003E-3</v>
      </c>
      <c r="O207" s="43"/>
      <c r="P207" s="15"/>
      <c r="Q207" s="15"/>
      <c r="R207" s="15"/>
      <c r="S207" s="15"/>
      <c r="T207" s="9">
        <v>13</v>
      </c>
      <c r="U207" s="9" t="s">
        <v>343</v>
      </c>
      <c r="V207" s="9">
        <v>0.47</v>
      </c>
      <c r="W207" s="45">
        <v>7.6E-3</v>
      </c>
      <c r="X207" s="43"/>
      <c r="Y207" s="15"/>
      <c r="Z207" s="44"/>
      <c r="AA207" s="15"/>
      <c r="AB207" s="15"/>
      <c r="AC207" s="15"/>
      <c r="AD207" s="43"/>
      <c r="AE207" s="15"/>
      <c r="AF207" s="44"/>
      <c r="AG207" s="15"/>
      <c r="AH207" s="15"/>
      <c r="AI207" s="15"/>
      <c r="AJ207" s="15"/>
      <c r="AK207" s="44"/>
      <c r="AL207" s="16"/>
    </row>
    <row r="208" spans="2:38" ht="14" customHeight="1" x14ac:dyDescent="0.25">
      <c r="B208" s="9">
        <v>14</v>
      </c>
      <c r="C208" s="9" t="s">
        <v>374</v>
      </c>
      <c r="D208" s="9">
        <v>0.47</v>
      </c>
      <c r="E208" s="45">
        <v>6.1999999999999998E-3</v>
      </c>
      <c r="F208" s="9"/>
      <c r="I208" s="9">
        <v>14</v>
      </c>
      <c r="J208" s="9" t="s">
        <v>326</v>
      </c>
      <c r="K208" s="9">
        <v>3.2</v>
      </c>
      <c r="L208" s="45">
        <v>6.4999999999999997E-3</v>
      </c>
      <c r="O208" s="43"/>
      <c r="P208" s="15"/>
      <c r="Q208" s="15"/>
      <c r="R208" s="15"/>
      <c r="S208" s="15"/>
      <c r="T208" s="9">
        <v>14</v>
      </c>
      <c r="U208" s="9" t="s">
        <v>326</v>
      </c>
      <c r="V208" s="9">
        <v>0.45</v>
      </c>
      <c r="W208" s="45">
        <v>7.3000000000000001E-3</v>
      </c>
      <c r="X208" s="43"/>
      <c r="Y208" s="15"/>
      <c r="Z208" s="44"/>
      <c r="AA208" s="15"/>
      <c r="AB208" s="15"/>
      <c r="AC208" s="15"/>
      <c r="AD208" s="43"/>
      <c r="AE208" s="15"/>
      <c r="AF208" s="44"/>
      <c r="AG208" s="15"/>
      <c r="AH208" s="15"/>
      <c r="AI208" s="15"/>
      <c r="AJ208" s="15"/>
      <c r="AK208" s="44"/>
      <c r="AL208" s="16"/>
    </row>
    <row r="209" spans="2:38" ht="14" customHeight="1" x14ac:dyDescent="0.25">
      <c r="B209" s="9">
        <v>15</v>
      </c>
      <c r="C209" s="9" t="s">
        <v>326</v>
      </c>
      <c r="D209" s="9">
        <v>0.45</v>
      </c>
      <c r="E209" s="45">
        <v>5.8999999999999999E-3</v>
      </c>
      <c r="F209" s="9"/>
      <c r="I209" s="9">
        <v>15</v>
      </c>
      <c r="J209" s="9" t="s">
        <v>343</v>
      </c>
      <c r="K209" s="9">
        <v>2.52</v>
      </c>
      <c r="L209" s="45">
        <v>5.1000000000000004E-3</v>
      </c>
      <c r="O209" s="43"/>
      <c r="P209" s="15"/>
      <c r="Q209" s="15"/>
      <c r="R209" s="15"/>
      <c r="S209" s="15"/>
      <c r="T209" s="9">
        <v>15</v>
      </c>
      <c r="U209" s="9" t="s">
        <v>375</v>
      </c>
      <c r="V209" s="9">
        <v>0.23</v>
      </c>
      <c r="W209" s="45">
        <v>3.7000000000000002E-3</v>
      </c>
      <c r="X209" s="43"/>
      <c r="Y209" s="15"/>
      <c r="Z209" s="44"/>
      <c r="AA209" s="15"/>
      <c r="AB209" s="15"/>
      <c r="AC209" s="15"/>
      <c r="AD209" s="43"/>
      <c r="AE209" s="15"/>
      <c r="AF209" s="44"/>
      <c r="AG209" s="15"/>
      <c r="AH209" s="15"/>
      <c r="AI209" s="15"/>
      <c r="AJ209" s="15"/>
      <c r="AK209" s="44"/>
      <c r="AL209" s="16"/>
    </row>
    <row r="210" spans="2:38" ht="14" customHeight="1" x14ac:dyDescent="0.25">
      <c r="D210" s="43"/>
      <c r="J210" s="43"/>
      <c r="O210" s="43"/>
      <c r="P210" s="15"/>
      <c r="Q210" s="15"/>
      <c r="R210" s="15"/>
      <c r="S210" s="15"/>
      <c r="T210" s="15"/>
      <c r="U210" s="15"/>
      <c r="V210" s="15"/>
      <c r="W210" s="15"/>
      <c r="X210" s="43"/>
      <c r="Y210" s="15"/>
      <c r="Z210" s="44"/>
      <c r="AA210" s="15"/>
      <c r="AB210" s="15"/>
      <c r="AC210" s="15"/>
      <c r="AD210" s="43"/>
      <c r="AE210" s="15"/>
      <c r="AF210" s="44"/>
      <c r="AG210" s="15"/>
      <c r="AH210" s="15"/>
      <c r="AI210" s="15"/>
      <c r="AJ210" s="15"/>
      <c r="AK210" s="44"/>
      <c r="AL210" s="16"/>
    </row>
    <row r="211" spans="2:38" ht="14" customHeight="1" x14ac:dyDescent="0.25">
      <c r="B211" s="15" t="s">
        <v>376</v>
      </c>
      <c r="D211" s="43"/>
      <c r="I211" s="15" t="s">
        <v>377</v>
      </c>
      <c r="O211" s="25" t="s">
        <v>378</v>
      </c>
      <c r="T211" s="25" t="s">
        <v>379</v>
      </c>
      <c r="X211" s="227"/>
      <c r="Y211" s="46"/>
      <c r="Z211" s="47"/>
      <c r="AD211" s="227"/>
      <c r="AF211" s="47"/>
      <c r="AK211" s="228"/>
      <c r="AL211" s="47"/>
    </row>
    <row r="212" spans="2:38" ht="14" customHeight="1" x14ac:dyDescent="0.25">
      <c r="B212" s="9" t="s">
        <v>334</v>
      </c>
      <c r="C212" s="9" t="s">
        <v>335</v>
      </c>
      <c r="D212" s="9" t="s">
        <v>336</v>
      </c>
      <c r="E212" s="9" t="s">
        <v>337</v>
      </c>
      <c r="I212" s="15" t="s">
        <v>380</v>
      </c>
      <c r="J212" s="43" t="s">
        <v>381</v>
      </c>
      <c r="K212" s="15" t="s">
        <v>382</v>
      </c>
      <c r="L212" s="15" t="s">
        <v>383</v>
      </c>
      <c r="O212" s="15" t="s">
        <v>380</v>
      </c>
      <c r="P212" s="6" t="s">
        <v>381</v>
      </c>
      <c r="Q212" s="6" t="s">
        <v>382</v>
      </c>
      <c r="R212" s="6" t="s">
        <v>384</v>
      </c>
      <c r="S212" s="15"/>
      <c r="T212" s="15" t="s">
        <v>380</v>
      </c>
      <c r="U212" s="15" t="s">
        <v>381</v>
      </c>
      <c r="V212" s="15" t="s">
        <v>382</v>
      </c>
      <c r="W212" s="15" t="s">
        <v>384</v>
      </c>
      <c r="X212" s="43"/>
      <c r="Y212" s="15"/>
      <c r="Z212" s="44"/>
      <c r="AA212" s="15"/>
      <c r="AB212" s="15"/>
      <c r="AC212" s="15"/>
      <c r="AD212" s="43"/>
      <c r="AE212" s="15"/>
      <c r="AF212" s="44"/>
      <c r="AG212" s="15"/>
      <c r="AH212" s="15"/>
      <c r="AI212" s="15"/>
      <c r="AJ212" s="15"/>
      <c r="AK212" s="44"/>
      <c r="AL212" s="16"/>
    </row>
    <row r="213" spans="2:38" ht="14" customHeight="1" x14ac:dyDescent="0.25">
      <c r="B213" s="9">
        <v>1</v>
      </c>
      <c r="C213" s="9" t="s">
        <v>68</v>
      </c>
      <c r="D213" s="9">
        <v>26.45</v>
      </c>
      <c r="E213" s="9">
        <v>0.42349999999999999</v>
      </c>
      <c r="I213" s="15">
        <v>1</v>
      </c>
      <c r="J213" s="43" t="s">
        <v>98</v>
      </c>
      <c r="K213" s="15">
        <v>178.16</v>
      </c>
      <c r="L213" s="16">
        <v>0.4274</v>
      </c>
      <c r="O213" s="15">
        <v>1</v>
      </c>
      <c r="P213" s="6" t="s">
        <v>98</v>
      </c>
      <c r="Q213" s="6">
        <v>18.54</v>
      </c>
      <c r="R213" s="228">
        <v>0.35980000000000001</v>
      </c>
      <c r="S213" s="15"/>
      <c r="T213" s="15">
        <v>1</v>
      </c>
      <c r="U213" s="15" t="s">
        <v>98</v>
      </c>
      <c r="V213" s="15">
        <v>7.91</v>
      </c>
      <c r="W213" s="16">
        <v>0.72450000000000003</v>
      </c>
      <c r="X213" s="43"/>
      <c r="Y213" s="15"/>
      <c r="Z213" s="44"/>
      <c r="AA213" s="15"/>
      <c r="AB213" s="15"/>
      <c r="AC213" s="15"/>
      <c r="AD213" s="43"/>
      <c r="AE213" s="15"/>
      <c r="AF213" s="44"/>
      <c r="AG213" s="15"/>
      <c r="AH213" s="15"/>
      <c r="AI213" s="15"/>
      <c r="AJ213" s="15"/>
      <c r="AK213" s="44"/>
      <c r="AL213" s="16"/>
    </row>
    <row r="214" spans="2:38" ht="14" customHeight="1" x14ac:dyDescent="0.25">
      <c r="B214" s="9">
        <v>2</v>
      </c>
      <c r="C214" s="9" t="s">
        <v>69</v>
      </c>
      <c r="D214" s="9">
        <v>13.02</v>
      </c>
      <c r="E214" s="9">
        <v>0.20849999999999999</v>
      </c>
      <c r="I214" s="15">
        <v>2</v>
      </c>
      <c r="J214" s="43" t="s">
        <v>99</v>
      </c>
      <c r="K214" s="15">
        <v>95.21</v>
      </c>
      <c r="L214" s="16">
        <v>0.22839999999999999</v>
      </c>
      <c r="O214" s="15">
        <v>2</v>
      </c>
      <c r="P214" s="6" t="s">
        <v>99</v>
      </c>
      <c r="Q214" s="6">
        <v>13.02</v>
      </c>
      <c r="R214" s="228">
        <v>0.25269999999999998</v>
      </c>
      <c r="S214" s="15"/>
      <c r="T214" s="15">
        <v>2</v>
      </c>
      <c r="U214" s="15" t="s">
        <v>100</v>
      </c>
      <c r="V214" s="15">
        <v>1.1299999999999999</v>
      </c>
      <c r="W214" s="16">
        <v>0.1038</v>
      </c>
      <c r="X214" s="43"/>
      <c r="Y214" s="15"/>
      <c r="Z214" s="44"/>
      <c r="AA214" s="15"/>
      <c r="AB214" s="15"/>
      <c r="AC214" s="15"/>
      <c r="AD214" s="43"/>
      <c r="AE214" s="15"/>
      <c r="AF214" s="44"/>
      <c r="AG214" s="15"/>
      <c r="AH214" s="15"/>
      <c r="AI214" s="15"/>
      <c r="AJ214" s="15"/>
      <c r="AK214" s="44"/>
      <c r="AL214" s="16"/>
    </row>
    <row r="215" spans="2:38" ht="14" customHeight="1" x14ac:dyDescent="0.25">
      <c r="B215" s="9">
        <v>3</v>
      </c>
      <c r="C215" s="9" t="s">
        <v>71</v>
      </c>
      <c r="D215" s="9">
        <v>5.03</v>
      </c>
      <c r="E215" s="9">
        <v>8.0500000000000002E-2</v>
      </c>
      <c r="I215" s="15">
        <v>3</v>
      </c>
      <c r="J215" s="43" t="s">
        <v>100</v>
      </c>
      <c r="K215" s="15">
        <v>29.18</v>
      </c>
      <c r="L215" s="16">
        <v>7.0000000000000007E-2</v>
      </c>
      <c r="O215" s="15">
        <v>3</v>
      </c>
      <c r="P215" s="6" t="s">
        <v>100</v>
      </c>
      <c r="Q215" s="6">
        <v>3.9</v>
      </c>
      <c r="R215" s="228">
        <v>7.5600000000000001E-2</v>
      </c>
      <c r="S215" s="15"/>
      <c r="T215" s="15">
        <v>3</v>
      </c>
      <c r="U215" s="15" t="s">
        <v>104</v>
      </c>
      <c r="V215" s="15">
        <v>0.78</v>
      </c>
      <c r="W215" s="16">
        <v>7.1499999999999994E-2</v>
      </c>
      <c r="X215" s="43"/>
      <c r="Y215" s="15"/>
      <c r="Z215" s="44"/>
      <c r="AA215" s="15"/>
      <c r="AB215" s="15"/>
      <c r="AC215" s="15"/>
      <c r="AD215" s="43"/>
      <c r="AE215" s="15"/>
      <c r="AF215" s="44"/>
      <c r="AG215" s="15"/>
      <c r="AH215" s="15"/>
      <c r="AI215" s="15"/>
      <c r="AJ215" s="15"/>
      <c r="AK215" s="44"/>
      <c r="AL215" s="16"/>
    </row>
    <row r="216" spans="2:38" ht="14" customHeight="1" x14ac:dyDescent="0.25">
      <c r="B216" s="9">
        <v>4</v>
      </c>
      <c r="C216" s="9" t="s">
        <v>70</v>
      </c>
      <c r="D216" s="9">
        <v>3.67</v>
      </c>
      <c r="E216" s="9">
        <v>5.8700000000000002E-2</v>
      </c>
      <c r="I216" s="15">
        <v>4</v>
      </c>
      <c r="J216" s="43" t="s">
        <v>101</v>
      </c>
      <c r="K216" s="15">
        <v>21.85</v>
      </c>
      <c r="L216" s="16">
        <v>5.2400000000000002E-2</v>
      </c>
      <c r="O216" s="15">
        <v>4</v>
      </c>
      <c r="P216" s="6" t="s">
        <v>101</v>
      </c>
      <c r="Q216" s="6">
        <v>3.64</v>
      </c>
      <c r="R216" s="228">
        <v>7.0699999999999999E-2</v>
      </c>
      <c r="S216" s="15"/>
      <c r="T216" s="15">
        <v>4</v>
      </c>
      <c r="U216" s="15" t="s">
        <v>172</v>
      </c>
      <c r="V216" s="15">
        <v>0.73</v>
      </c>
      <c r="W216" s="16">
        <v>6.7000000000000004E-2</v>
      </c>
      <c r="X216" s="43"/>
      <c r="Y216" s="15"/>
      <c r="Z216" s="44"/>
      <c r="AA216" s="15"/>
      <c r="AB216" s="15"/>
      <c r="AC216" s="15"/>
      <c r="AD216" s="43"/>
      <c r="AE216" s="15"/>
      <c r="AF216" s="44"/>
      <c r="AG216" s="15"/>
      <c r="AH216" s="15"/>
      <c r="AI216" s="15"/>
      <c r="AJ216" s="15"/>
      <c r="AK216" s="44"/>
      <c r="AL216" s="16"/>
    </row>
    <row r="217" spans="2:38" ht="14" customHeight="1" x14ac:dyDescent="0.25">
      <c r="B217" s="9">
        <v>5</v>
      </c>
      <c r="C217" s="9" t="s">
        <v>73</v>
      </c>
      <c r="D217" s="9">
        <v>2.74</v>
      </c>
      <c r="E217" s="9">
        <v>4.3900000000000002E-2</v>
      </c>
      <c r="I217" s="15">
        <v>5</v>
      </c>
      <c r="J217" s="43" t="s">
        <v>103</v>
      </c>
      <c r="K217" s="15">
        <v>17.5</v>
      </c>
      <c r="L217" s="16">
        <v>4.2000000000000003E-2</v>
      </c>
      <c r="O217" s="15">
        <v>5</v>
      </c>
      <c r="P217" s="6" t="s">
        <v>103</v>
      </c>
      <c r="Q217" s="6">
        <v>2.57</v>
      </c>
      <c r="R217" s="228">
        <v>4.9799999999999997E-2</v>
      </c>
      <c r="S217" s="15"/>
      <c r="T217" s="15">
        <v>5</v>
      </c>
      <c r="U217" s="15" t="s">
        <v>103</v>
      </c>
      <c r="V217" s="15">
        <v>0.18</v>
      </c>
      <c r="W217" s="16">
        <v>1.6299999999999999E-2</v>
      </c>
      <c r="X217" s="43"/>
      <c r="Y217" s="15"/>
      <c r="Z217" s="44"/>
      <c r="AA217" s="15"/>
      <c r="AB217" s="15"/>
      <c r="AC217" s="15"/>
      <c r="AD217" s="43"/>
      <c r="AE217" s="15"/>
      <c r="AF217" s="44"/>
      <c r="AG217" s="15"/>
      <c r="AH217" s="15"/>
      <c r="AI217" s="15"/>
      <c r="AJ217" s="15"/>
      <c r="AK217" s="44"/>
      <c r="AL217" s="16"/>
    </row>
    <row r="218" spans="2:38" ht="14" customHeight="1" x14ac:dyDescent="0.25">
      <c r="B218" s="9">
        <v>6</v>
      </c>
      <c r="C218" s="9" t="s">
        <v>129</v>
      </c>
      <c r="D218" s="9">
        <v>2.4500000000000002</v>
      </c>
      <c r="E218" s="9">
        <v>3.9199999999999999E-2</v>
      </c>
      <c r="I218" s="15">
        <v>6</v>
      </c>
      <c r="J218" s="43" t="s">
        <v>181</v>
      </c>
      <c r="K218" s="15">
        <v>13.76</v>
      </c>
      <c r="L218" s="16">
        <v>3.3000000000000002E-2</v>
      </c>
      <c r="O218" s="15">
        <v>6</v>
      </c>
      <c r="P218" s="6" t="s">
        <v>181</v>
      </c>
      <c r="Q218" s="6">
        <v>2.4300000000000002</v>
      </c>
      <c r="R218" s="228">
        <v>4.7199999999999999E-2</v>
      </c>
      <c r="S218" s="15"/>
      <c r="T218" s="15">
        <v>6</v>
      </c>
      <c r="U218" s="15" t="s">
        <v>370</v>
      </c>
      <c r="V218" s="15">
        <v>0.13</v>
      </c>
      <c r="W218" s="16">
        <v>1.21E-2</v>
      </c>
      <c r="X218" s="43"/>
      <c r="Y218" s="15"/>
      <c r="Z218" s="44"/>
      <c r="AA218" s="15"/>
      <c r="AB218" s="15"/>
      <c r="AC218" s="15"/>
      <c r="AD218" s="43"/>
      <c r="AE218" s="15"/>
      <c r="AF218" s="44"/>
      <c r="AG218" s="15"/>
      <c r="AH218" s="15"/>
      <c r="AI218" s="15"/>
      <c r="AJ218" s="15"/>
      <c r="AK218" s="44"/>
      <c r="AL218" s="16"/>
    </row>
    <row r="219" spans="2:38" ht="14" customHeight="1" x14ac:dyDescent="0.25">
      <c r="B219" s="9">
        <v>7</v>
      </c>
      <c r="C219" s="9" t="s">
        <v>323</v>
      </c>
      <c r="D219" s="9">
        <v>1.73</v>
      </c>
      <c r="E219" s="9">
        <v>2.7699999999999999E-2</v>
      </c>
      <c r="I219" s="15">
        <v>7</v>
      </c>
      <c r="J219" s="43" t="s">
        <v>104</v>
      </c>
      <c r="K219" s="15">
        <v>11.83</v>
      </c>
      <c r="L219" s="16">
        <v>2.8400000000000002E-2</v>
      </c>
      <c r="O219" s="15">
        <v>7</v>
      </c>
      <c r="P219" s="6" t="s">
        <v>370</v>
      </c>
      <c r="Q219" s="6">
        <v>1.6</v>
      </c>
      <c r="R219" s="228">
        <v>3.1E-2</v>
      </c>
      <c r="S219" s="15"/>
      <c r="T219" s="15">
        <v>7</v>
      </c>
      <c r="U219" s="15" t="s">
        <v>101</v>
      </c>
      <c r="V219" s="15">
        <v>0.02</v>
      </c>
      <c r="W219" s="16">
        <v>2.2000000000000001E-3</v>
      </c>
      <c r="X219" s="43"/>
      <c r="Y219" s="15"/>
      <c r="Z219" s="44"/>
      <c r="AA219" s="15"/>
      <c r="AB219" s="15"/>
      <c r="AC219" s="15"/>
      <c r="AD219" s="43"/>
      <c r="AE219" s="15"/>
      <c r="AF219" s="44"/>
      <c r="AG219" s="15"/>
      <c r="AH219" s="15"/>
      <c r="AI219" s="15"/>
      <c r="AJ219" s="15"/>
      <c r="AK219" s="44"/>
      <c r="AL219" s="16"/>
    </row>
    <row r="220" spans="2:38" ht="14" customHeight="1" x14ac:dyDescent="0.25">
      <c r="B220" s="9">
        <v>8</v>
      </c>
      <c r="C220" s="9" t="s">
        <v>74</v>
      </c>
      <c r="D220" s="9">
        <v>1.73</v>
      </c>
      <c r="E220" s="9">
        <v>2.7699999999999999E-2</v>
      </c>
      <c r="I220" s="15">
        <v>8</v>
      </c>
      <c r="J220" s="43" t="s">
        <v>369</v>
      </c>
      <c r="K220" s="15">
        <v>9.39</v>
      </c>
      <c r="L220" s="16">
        <v>2.2499999999999999E-2</v>
      </c>
      <c r="O220" s="15">
        <v>8</v>
      </c>
      <c r="P220" s="6" t="s">
        <v>369</v>
      </c>
      <c r="Q220" s="6">
        <v>1.55</v>
      </c>
      <c r="R220" s="228">
        <v>0.03</v>
      </c>
      <c r="S220" s="15"/>
      <c r="T220" s="15">
        <v>8</v>
      </c>
      <c r="U220" s="15" t="s">
        <v>181</v>
      </c>
      <c r="V220" s="15">
        <v>0.02</v>
      </c>
      <c r="W220" s="16">
        <v>1.6999999999999999E-3</v>
      </c>
      <c r="X220" s="43"/>
      <c r="Y220" s="15"/>
      <c r="Z220" s="44"/>
      <c r="AA220" s="15"/>
      <c r="AB220" s="15"/>
      <c r="AC220" s="15"/>
      <c r="AD220" s="43"/>
      <c r="AE220" s="15"/>
      <c r="AF220" s="44"/>
      <c r="AG220" s="15"/>
      <c r="AH220" s="15"/>
      <c r="AI220" s="15"/>
      <c r="AJ220" s="15"/>
      <c r="AK220" s="44"/>
      <c r="AL220" s="16"/>
    </row>
    <row r="221" spans="2:38" ht="14" customHeight="1" x14ac:dyDescent="0.25">
      <c r="B221" s="9">
        <v>9</v>
      </c>
      <c r="C221" s="9" t="s">
        <v>322</v>
      </c>
      <c r="D221" s="9">
        <v>1.55</v>
      </c>
      <c r="E221" s="9">
        <v>2.4799999999999999E-2</v>
      </c>
      <c r="I221" s="15">
        <v>9</v>
      </c>
      <c r="J221" s="43" t="s">
        <v>370</v>
      </c>
      <c r="K221" s="15">
        <v>9.25</v>
      </c>
      <c r="L221" s="16">
        <v>2.2200000000000001E-2</v>
      </c>
      <c r="O221" s="15">
        <v>9</v>
      </c>
      <c r="P221" s="6" t="s">
        <v>385</v>
      </c>
      <c r="Q221" s="6">
        <v>1.03</v>
      </c>
      <c r="R221" s="228">
        <v>0.02</v>
      </c>
      <c r="S221" s="15"/>
      <c r="T221" s="15">
        <v>9</v>
      </c>
      <c r="U221" s="15" t="s">
        <v>355</v>
      </c>
      <c r="V221" s="15">
        <v>0.01</v>
      </c>
      <c r="W221" s="16">
        <v>6.9999999999999999E-4</v>
      </c>
      <c r="X221" s="43"/>
      <c r="Y221" s="15"/>
      <c r="Z221" s="44"/>
      <c r="AA221" s="15"/>
      <c r="AB221" s="15"/>
      <c r="AC221" s="15"/>
      <c r="AD221" s="43"/>
      <c r="AE221" s="15"/>
      <c r="AF221" s="44"/>
      <c r="AG221" s="15"/>
      <c r="AH221" s="15"/>
      <c r="AI221" s="15"/>
      <c r="AJ221" s="15"/>
      <c r="AK221" s="44"/>
      <c r="AL221" s="16"/>
    </row>
    <row r="222" spans="2:38" ht="14" customHeight="1" x14ac:dyDescent="0.25">
      <c r="B222" s="9">
        <v>10</v>
      </c>
      <c r="C222" s="9" t="s">
        <v>327</v>
      </c>
      <c r="D222" s="9">
        <v>1.03</v>
      </c>
      <c r="E222" s="9">
        <v>1.6500000000000001E-2</v>
      </c>
      <c r="I222" s="15">
        <v>10</v>
      </c>
      <c r="J222" s="43" t="s">
        <v>385</v>
      </c>
      <c r="K222" s="15">
        <v>8.2100000000000009</v>
      </c>
      <c r="L222" s="16">
        <v>1.9699999999999999E-2</v>
      </c>
      <c r="O222" s="15">
        <v>10</v>
      </c>
      <c r="P222" s="6" t="s">
        <v>104</v>
      </c>
      <c r="Q222" s="6">
        <v>0.95</v>
      </c>
      <c r="R222" s="228">
        <v>1.84E-2</v>
      </c>
      <c r="S222" s="15"/>
      <c r="T222" s="15">
        <v>10</v>
      </c>
      <c r="U222" s="15" t="s">
        <v>185</v>
      </c>
      <c r="V222" s="15">
        <v>2E-3</v>
      </c>
      <c r="W222" s="16">
        <v>2.0000000000000001E-4</v>
      </c>
      <c r="X222" s="43"/>
      <c r="Y222" s="15"/>
      <c r="Z222" s="44"/>
      <c r="AA222" s="15"/>
      <c r="AB222" s="15"/>
      <c r="AC222" s="15"/>
      <c r="AD222" s="43"/>
      <c r="AE222" s="15"/>
      <c r="AF222" s="44"/>
      <c r="AG222" s="15"/>
      <c r="AH222" s="15"/>
      <c r="AI222" s="15"/>
      <c r="AJ222" s="15"/>
      <c r="AK222" s="44"/>
      <c r="AL222" s="16"/>
    </row>
    <row r="223" spans="2:38" ht="14" customHeight="1" x14ac:dyDescent="0.25">
      <c r="B223" s="9">
        <v>11</v>
      </c>
      <c r="C223" s="9" t="s">
        <v>127</v>
      </c>
      <c r="D223" s="9">
        <v>0.73</v>
      </c>
      <c r="E223" s="9">
        <v>1.17E-2</v>
      </c>
      <c r="I223" s="15">
        <v>11</v>
      </c>
      <c r="J223" s="43" t="s">
        <v>172</v>
      </c>
      <c r="K223" s="15">
        <v>5.85</v>
      </c>
      <c r="L223" s="16">
        <v>1.4E-2</v>
      </c>
      <c r="O223" s="15">
        <v>11</v>
      </c>
      <c r="P223" s="6" t="s">
        <v>349</v>
      </c>
      <c r="Q223" s="6">
        <v>0.59</v>
      </c>
      <c r="R223" s="228">
        <v>1.14E-2</v>
      </c>
      <c r="S223" s="15"/>
      <c r="T223" s="15">
        <v>11</v>
      </c>
      <c r="U223" s="15" t="s">
        <v>386</v>
      </c>
      <c r="V223" s="15">
        <v>0</v>
      </c>
      <c r="W223" s="16">
        <v>0</v>
      </c>
      <c r="X223" s="43"/>
      <c r="Y223" s="15"/>
      <c r="Z223" s="44"/>
      <c r="AA223" s="15"/>
      <c r="AB223" s="15"/>
      <c r="AC223" s="15"/>
      <c r="AD223" s="43"/>
      <c r="AE223" s="15"/>
      <c r="AF223" s="44"/>
      <c r="AG223" s="15"/>
      <c r="AH223" s="15"/>
      <c r="AI223" s="15"/>
      <c r="AJ223" s="15"/>
      <c r="AK223" s="44"/>
      <c r="AL223" s="16"/>
    </row>
    <row r="224" spans="2:38" ht="14" customHeight="1" x14ac:dyDescent="0.25">
      <c r="B224" s="9">
        <v>12</v>
      </c>
      <c r="C224" s="9" t="s">
        <v>348</v>
      </c>
      <c r="D224" s="9">
        <v>0.59</v>
      </c>
      <c r="E224" s="9">
        <v>9.4000000000000004E-3</v>
      </c>
      <c r="I224" s="15">
        <v>12</v>
      </c>
      <c r="J224" s="43" t="s">
        <v>328</v>
      </c>
      <c r="K224" s="15">
        <v>4.2</v>
      </c>
      <c r="L224" s="16">
        <v>1.01E-2</v>
      </c>
      <c r="O224" s="15">
        <v>12</v>
      </c>
      <c r="P224" s="6" t="s">
        <v>328</v>
      </c>
      <c r="Q224" s="6">
        <v>0.43</v>
      </c>
      <c r="R224" s="228">
        <v>8.3999999999999995E-3</v>
      </c>
      <c r="S224" s="15"/>
      <c r="T224" s="15">
        <v>12</v>
      </c>
      <c r="U224" s="15" t="s">
        <v>99</v>
      </c>
      <c r="V224" s="15">
        <v>0</v>
      </c>
      <c r="W224" s="16">
        <v>0</v>
      </c>
      <c r="X224" s="43"/>
      <c r="Y224" s="15"/>
      <c r="Z224" s="44"/>
      <c r="AA224" s="15"/>
      <c r="AB224" s="15"/>
      <c r="AC224" s="15"/>
      <c r="AD224" s="43"/>
      <c r="AE224" s="15"/>
      <c r="AF224" s="44"/>
      <c r="AG224" s="15"/>
      <c r="AH224" s="15"/>
      <c r="AI224" s="15"/>
      <c r="AJ224" s="15"/>
      <c r="AK224" s="44"/>
      <c r="AL224" s="16"/>
    </row>
    <row r="225" spans="2:38" ht="14" customHeight="1" x14ac:dyDescent="0.25">
      <c r="B225" s="9">
        <v>13</v>
      </c>
      <c r="C225" s="9" t="s">
        <v>325</v>
      </c>
      <c r="D225" s="9">
        <v>0.43</v>
      </c>
      <c r="E225" s="9">
        <v>6.8999999999999999E-3</v>
      </c>
      <c r="I225" s="15">
        <v>13</v>
      </c>
      <c r="J225" s="43" t="s">
        <v>349</v>
      </c>
      <c r="K225" s="15">
        <v>3.01</v>
      </c>
      <c r="L225" s="16">
        <v>7.1999999999999998E-3</v>
      </c>
      <c r="O225" s="15">
        <v>13</v>
      </c>
      <c r="P225" s="15" t="s">
        <v>358</v>
      </c>
      <c r="Q225" s="15">
        <v>0.37</v>
      </c>
      <c r="R225" s="16">
        <v>7.1000000000000004E-3</v>
      </c>
      <c r="S225" s="15"/>
      <c r="T225" s="15"/>
      <c r="U225" s="15"/>
      <c r="V225" s="15"/>
      <c r="W225" s="15"/>
      <c r="X225" s="43"/>
      <c r="Y225" s="15"/>
      <c r="Z225" s="44"/>
      <c r="AA225" s="15"/>
      <c r="AB225" s="15"/>
      <c r="AC225" s="15"/>
      <c r="AD225" s="43"/>
      <c r="AE225" s="15"/>
      <c r="AF225" s="44"/>
      <c r="AG225" s="15"/>
      <c r="AH225" s="15"/>
      <c r="AI225" s="15"/>
      <c r="AJ225" s="15"/>
      <c r="AK225" s="44"/>
      <c r="AL225" s="16"/>
    </row>
    <row r="226" spans="2:38" ht="14" customHeight="1" x14ac:dyDescent="0.25">
      <c r="B226" s="9">
        <v>14</v>
      </c>
      <c r="C226" s="9" t="s">
        <v>343</v>
      </c>
      <c r="D226" s="9">
        <v>0.37</v>
      </c>
      <c r="E226" s="9">
        <v>5.8999999999999999E-3</v>
      </c>
      <c r="I226" s="15">
        <v>14</v>
      </c>
      <c r="J226" s="43" t="s">
        <v>329</v>
      </c>
      <c r="K226" s="15">
        <v>2.75</v>
      </c>
      <c r="L226" s="16">
        <v>6.6E-3</v>
      </c>
      <c r="O226" s="15">
        <v>14</v>
      </c>
      <c r="P226" s="15" t="s">
        <v>329</v>
      </c>
      <c r="Q226" s="15">
        <v>0.28999999999999998</v>
      </c>
      <c r="R226" s="16">
        <v>5.4999999999999997E-3</v>
      </c>
      <c r="S226" s="15"/>
      <c r="T226" s="15"/>
      <c r="U226" s="15"/>
      <c r="V226" s="15"/>
      <c r="W226" s="15"/>
      <c r="X226" s="43"/>
      <c r="Y226" s="15"/>
      <c r="Z226" s="44"/>
      <c r="AA226" s="15"/>
      <c r="AB226" s="15"/>
      <c r="AC226" s="15"/>
      <c r="AD226" s="43"/>
      <c r="AE226" s="15"/>
      <c r="AF226" s="44"/>
      <c r="AG226" s="15"/>
      <c r="AH226" s="15"/>
      <c r="AI226" s="15"/>
      <c r="AJ226" s="15"/>
      <c r="AK226" s="44"/>
      <c r="AL226" s="16"/>
    </row>
    <row r="227" spans="2:38" ht="14" customHeight="1" x14ac:dyDescent="0.25">
      <c r="B227" s="9">
        <v>15</v>
      </c>
      <c r="C227" s="9" t="s">
        <v>326</v>
      </c>
      <c r="D227" s="9">
        <v>0.28999999999999998</v>
      </c>
      <c r="E227" s="9">
        <v>4.5999999999999999E-3</v>
      </c>
      <c r="I227" s="15">
        <v>15</v>
      </c>
      <c r="J227" s="43" t="s">
        <v>358</v>
      </c>
      <c r="K227" s="15">
        <v>2.0499999999999998</v>
      </c>
      <c r="L227" s="16">
        <v>4.8999999999999998E-3</v>
      </c>
      <c r="O227" s="15">
        <v>15</v>
      </c>
      <c r="P227" s="15" t="s">
        <v>387</v>
      </c>
      <c r="Q227" s="15">
        <v>0.15</v>
      </c>
      <c r="R227" s="16">
        <v>2.8999999999999998E-3</v>
      </c>
      <c r="S227" s="15"/>
      <c r="T227" s="15"/>
      <c r="U227" s="15"/>
      <c r="V227" s="15"/>
      <c r="W227" s="15"/>
      <c r="X227" s="43"/>
      <c r="Y227" s="15"/>
      <c r="Z227" s="44"/>
      <c r="AA227" s="15"/>
      <c r="AB227" s="15"/>
      <c r="AC227" s="15"/>
      <c r="AD227" s="43"/>
      <c r="AE227" s="15"/>
      <c r="AF227" s="44"/>
      <c r="AG227" s="15"/>
      <c r="AH227" s="15"/>
      <c r="AI227" s="15"/>
      <c r="AJ227" s="15"/>
      <c r="AK227" s="44"/>
      <c r="AL227" s="16"/>
    </row>
    <row r="228" spans="2:38" ht="14" customHeight="1" x14ac:dyDescent="0.25">
      <c r="B228" s="9"/>
      <c r="C228" s="9"/>
      <c r="D228" s="9"/>
      <c r="E228" s="9"/>
      <c r="J228" s="43"/>
      <c r="L228" s="16"/>
      <c r="O228" s="15"/>
      <c r="P228" s="15"/>
      <c r="Q228" s="15"/>
      <c r="R228" s="16"/>
      <c r="S228" s="15"/>
      <c r="T228" s="15"/>
      <c r="U228" s="15"/>
      <c r="V228" s="15"/>
      <c r="W228" s="15"/>
      <c r="X228" s="43"/>
      <c r="Y228" s="15"/>
      <c r="Z228" s="44"/>
      <c r="AA228" s="15"/>
      <c r="AB228" s="15"/>
      <c r="AC228" s="15"/>
      <c r="AD228" s="43"/>
      <c r="AE228" s="15"/>
      <c r="AF228" s="44"/>
      <c r="AG228" s="15"/>
      <c r="AH228" s="15"/>
      <c r="AI228" s="15"/>
      <c r="AJ228" s="15"/>
      <c r="AK228" s="44"/>
      <c r="AL228" s="16"/>
    </row>
    <row r="229" spans="2:38" ht="14" customHeight="1" x14ac:dyDescent="0.25">
      <c r="B229" s="15" t="s">
        <v>388</v>
      </c>
      <c r="D229" s="43"/>
      <c r="I229" s="15" t="s">
        <v>389</v>
      </c>
      <c r="O229" s="25" t="s">
        <v>390</v>
      </c>
      <c r="T229" s="25" t="s">
        <v>391</v>
      </c>
      <c r="X229" s="227"/>
      <c r="Y229" s="46"/>
      <c r="Z229" s="47"/>
      <c r="AD229" s="227"/>
      <c r="AF229" s="47"/>
      <c r="AK229" s="228"/>
      <c r="AL229" s="47"/>
    </row>
    <row r="230" spans="2:38" ht="14" customHeight="1" x14ac:dyDescent="0.25">
      <c r="B230" s="15" t="s">
        <v>380</v>
      </c>
      <c r="C230" s="15" t="s">
        <v>381</v>
      </c>
      <c r="D230" s="43" t="s">
        <v>382</v>
      </c>
      <c r="E230" s="15" t="s">
        <v>384</v>
      </c>
      <c r="I230" s="15" t="s">
        <v>380</v>
      </c>
      <c r="J230" s="43" t="s">
        <v>381</v>
      </c>
      <c r="K230" s="15" t="s">
        <v>382</v>
      </c>
      <c r="L230" s="15" t="s">
        <v>383</v>
      </c>
      <c r="O230" s="15" t="s">
        <v>380</v>
      </c>
      <c r="P230" s="15" t="s">
        <v>381</v>
      </c>
      <c r="Q230" s="15" t="s">
        <v>382</v>
      </c>
      <c r="R230" s="15" t="s">
        <v>384</v>
      </c>
      <c r="S230" s="15"/>
      <c r="T230" s="15" t="s">
        <v>380</v>
      </c>
      <c r="U230" s="15" t="s">
        <v>381</v>
      </c>
      <c r="V230" s="15" t="s">
        <v>382</v>
      </c>
      <c r="W230" s="15" t="s">
        <v>384</v>
      </c>
      <c r="X230" s="43"/>
      <c r="Y230" s="15"/>
      <c r="Z230" s="44"/>
      <c r="AA230" s="15"/>
      <c r="AB230" s="15"/>
      <c r="AC230" s="15"/>
      <c r="AD230" s="43"/>
      <c r="AE230" s="15"/>
      <c r="AF230" s="44"/>
      <c r="AG230" s="15"/>
      <c r="AH230" s="15"/>
      <c r="AI230" s="15"/>
      <c r="AJ230" s="15"/>
      <c r="AK230" s="44"/>
      <c r="AL230" s="16"/>
    </row>
    <row r="231" spans="2:38" ht="14" customHeight="1" x14ac:dyDescent="0.25">
      <c r="B231" s="15">
        <v>1</v>
      </c>
      <c r="C231" s="15" t="s">
        <v>98</v>
      </c>
      <c r="D231" s="43">
        <v>23.11</v>
      </c>
      <c r="E231" s="16">
        <v>0.41399999999999998</v>
      </c>
      <c r="I231" s="15">
        <v>1</v>
      </c>
      <c r="J231" s="43" t="s">
        <v>98</v>
      </c>
      <c r="K231" s="15">
        <v>151.72</v>
      </c>
      <c r="L231" s="16">
        <v>0.42809999999999998</v>
      </c>
      <c r="O231" s="15">
        <v>1</v>
      </c>
      <c r="P231" s="15" t="s">
        <v>98</v>
      </c>
      <c r="Q231" s="15">
        <v>15.5</v>
      </c>
      <c r="R231" s="16">
        <v>0.34539999999999998</v>
      </c>
      <c r="S231" s="15"/>
      <c r="T231" s="15">
        <v>1</v>
      </c>
      <c r="U231" s="15" t="s">
        <v>98</v>
      </c>
      <c r="V231" s="15">
        <v>7.61</v>
      </c>
      <c r="W231" s="16">
        <v>0.69589999999999996</v>
      </c>
      <c r="X231" s="43"/>
      <c r="Y231" s="15"/>
      <c r="Z231" s="44"/>
      <c r="AA231" s="15"/>
      <c r="AB231" s="15"/>
      <c r="AC231" s="15"/>
      <c r="AD231" s="43"/>
      <c r="AE231" s="15"/>
      <c r="AF231" s="44"/>
      <c r="AG231" s="15"/>
      <c r="AH231" s="15"/>
      <c r="AI231" s="15"/>
      <c r="AJ231" s="15"/>
      <c r="AK231" s="44"/>
      <c r="AL231" s="16"/>
    </row>
    <row r="232" spans="2:38" ht="14" customHeight="1" x14ac:dyDescent="0.25">
      <c r="B232" s="15">
        <v>2</v>
      </c>
      <c r="C232" s="15" t="s">
        <v>99</v>
      </c>
      <c r="D232" s="43">
        <v>11.83</v>
      </c>
      <c r="E232" s="16">
        <v>0.21179999999999999</v>
      </c>
      <c r="I232" s="15">
        <v>2</v>
      </c>
      <c r="J232" s="43" t="s">
        <v>99</v>
      </c>
      <c r="K232" s="15">
        <v>82.19</v>
      </c>
      <c r="L232" s="16">
        <v>0.2319</v>
      </c>
      <c r="O232" s="15">
        <v>2</v>
      </c>
      <c r="P232" s="15" t="s">
        <v>99</v>
      </c>
      <c r="Q232" s="15">
        <v>11.83</v>
      </c>
      <c r="R232" s="16">
        <v>0.26340000000000002</v>
      </c>
      <c r="S232" s="15"/>
      <c r="T232" s="15">
        <v>2</v>
      </c>
      <c r="U232" s="15" t="s">
        <v>100</v>
      </c>
      <c r="V232" s="15">
        <v>1.03</v>
      </c>
      <c r="W232" s="16">
        <v>9.4299999999999995E-2</v>
      </c>
      <c r="X232" s="43"/>
      <c r="Y232" s="15"/>
      <c r="Z232" s="44"/>
      <c r="AA232" s="15"/>
      <c r="AB232" s="15"/>
      <c r="AC232" s="15"/>
      <c r="AD232" s="43"/>
      <c r="AE232" s="15"/>
      <c r="AF232" s="44"/>
      <c r="AG232" s="15"/>
      <c r="AH232" s="15"/>
      <c r="AI232" s="15"/>
      <c r="AJ232" s="15"/>
      <c r="AK232" s="44"/>
      <c r="AL232" s="16"/>
    </row>
    <row r="233" spans="2:38" ht="14" customHeight="1" x14ac:dyDescent="0.25">
      <c r="B233" s="15">
        <v>3</v>
      </c>
      <c r="C233" s="15" t="s">
        <v>100</v>
      </c>
      <c r="D233" s="43">
        <v>4.6900000000000004</v>
      </c>
      <c r="E233" s="16">
        <v>8.4000000000000005E-2</v>
      </c>
      <c r="I233" s="15">
        <v>3</v>
      </c>
      <c r="J233" s="43" t="s">
        <v>100</v>
      </c>
      <c r="K233" s="15">
        <v>24.15</v>
      </c>
      <c r="L233" s="16">
        <v>6.8099999999999994E-2</v>
      </c>
      <c r="O233" s="15">
        <v>3</v>
      </c>
      <c r="P233" s="15" t="s">
        <v>100</v>
      </c>
      <c r="Q233" s="15">
        <v>3.66</v>
      </c>
      <c r="R233" s="16">
        <v>8.1500000000000003E-2</v>
      </c>
      <c r="S233" s="15"/>
      <c r="T233" s="15">
        <v>3</v>
      </c>
      <c r="U233" s="15" t="s">
        <v>104</v>
      </c>
      <c r="V233" s="15">
        <v>0.98</v>
      </c>
      <c r="W233" s="16">
        <v>8.9599999999999999E-2</v>
      </c>
      <c r="X233" s="43"/>
      <c r="Y233" s="15"/>
      <c r="Z233" s="44"/>
      <c r="AA233" s="15"/>
      <c r="AB233" s="15"/>
      <c r="AC233" s="15"/>
      <c r="AD233" s="43"/>
      <c r="AE233" s="15"/>
      <c r="AF233" s="44"/>
      <c r="AG233" s="15"/>
      <c r="AH233" s="15"/>
      <c r="AI233" s="15"/>
      <c r="AJ233" s="15"/>
      <c r="AK233" s="44"/>
      <c r="AL233" s="16"/>
    </row>
    <row r="234" spans="2:38" ht="14" customHeight="1" x14ac:dyDescent="0.25">
      <c r="B234" s="15">
        <v>4</v>
      </c>
      <c r="C234" s="15" t="s">
        <v>101</v>
      </c>
      <c r="D234" s="43">
        <v>2.7</v>
      </c>
      <c r="E234" s="16">
        <v>4.8300000000000003E-2</v>
      </c>
      <c r="I234" s="15">
        <v>4</v>
      </c>
      <c r="J234" s="43" t="s">
        <v>101</v>
      </c>
      <c r="K234" s="15">
        <v>18.18</v>
      </c>
      <c r="L234" s="16">
        <v>5.1299999999999998E-2</v>
      </c>
      <c r="O234" s="15">
        <v>4</v>
      </c>
      <c r="P234" s="15" t="s">
        <v>101</v>
      </c>
      <c r="Q234" s="15">
        <v>2.66</v>
      </c>
      <c r="R234" s="16">
        <v>5.9299999999999999E-2</v>
      </c>
      <c r="S234" s="15"/>
      <c r="T234" s="15">
        <v>4</v>
      </c>
      <c r="U234" s="15" t="s">
        <v>172</v>
      </c>
      <c r="V234" s="15">
        <v>0.94</v>
      </c>
      <c r="W234" s="16">
        <v>8.6199999999999999E-2</v>
      </c>
      <c r="X234" s="43"/>
      <c r="Y234" s="15"/>
      <c r="Z234" s="44"/>
      <c r="AA234" s="15"/>
      <c r="AB234" s="15"/>
      <c r="AC234" s="15"/>
      <c r="AD234" s="43"/>
      <c r="AE234" s="15"/>
      <c r="AF234" s="44"/>
      <c r="AG234" s="15"/>
      <c r="AH234" s="15"/>
      <c r="AI234" s="15"/>
      <c r="AJ234" s="15"/>
      <c r="AK234" s="44"/>
      <c r="AL234" s="16"/>
    </row>
    <row r="235" spans="2:38" ht="14" customHeight="1" x14ac:dyDescent="0.25">
      <c r="B235" s="15">
        <v>5</v>
      </c>
      <c r="C235" s="15" t="s">
        <v>103</v>
      </c>
      <c r="D235" s="43">
        <v>2.54</v>
      </c>
      <c r="E235" s="16">
        <v>4.5499999999999999E-2</v>
      </c>
      <c r="I235" s="15">
        <v>5</v>
      </c>
      <c r="J235" s="43" t="s">
        <v>103</v>
      </c>
      <c r="K235" s="15">
        <v>14.75</v>
      </c>
      <c r="L235" s="16">
        <v>4.1599999999999998E-2</v>
      </c>
      <c r="O235" s="15">
        <v>5</v>
      </c>
      <c r="P235" s="15" t="s">
        <v>103</v>
      </c>
      <c r="Q235" s="15">
        <v>2.39</v>
      </c>
      <c r="R235" s="16">
        <v>5.3199999999999997E-2</v>
      </c>
      <c r="S235" s="15"/>
      <c r="T235" s="15">
        <v>5</v>
      </c>
      <c r="U235" s="15" t="s">
        <v>103</v>
      </c>
      <c r="V235" s="15">
        <v>0.15</v>
      </c>
      <c r="W235" s="16">
        <v>1.3899999999999999E-2</v>
      </c>
      <c r="X235" s="43"/>
      <c r="Y235" s="15"/>
      <c r="Z235" s="44"/>
      <c r="AA235" s="15"/>
      <c r="AB235" s="15"/>
      <c r="AC235" s="15"/>
      <c r="AD235" s="43"/>
      <c r="AE235" s="15"/>
      <c r="AF235" s="44"/>
      <c r="AG235" s="15"/>
      <c r="AH235" s="15"/>
      <c r="AI235" s="15"/>
      <c r="AJ235" s="15"/>
      <c r="AK235" s="44"/>
      <c r="AL235" s="16"/>
    </row>
    <row r="236" spans="2:38" ht="14" customHeight="1" x14ac:dyDescent="0.25">
      <c r="B236" s="15">
        <v>6</v>
      </c>
      <c r="C236" s="15" t="s">
        <v>181</v>
      </c>
      <c r="D236" s="43">
        <v>2.2400000000000002</v>
      </c>
      <c r="E236" s="16">
        <v>4.02E-2</v>
      </c>
      <c r="I236" s="15">
        <v>6</v>
      </c>
      <c r="J236" s="43" t="s">
        <v>181</v>
      </c>
      <c r="K236" s="15">
        <v>11.31</v>
      </c>
      <c r="L236" s="16">
        <v>3.1899999999999998E-2</v>
      </c>
      <c r="O236" s="15">
        <v>6</v>
      </c>
      <c r="P236" s="15" t="s">
        <v>181</v>
      </c>
      <c r="Q236" s="15">
        <v>2.14</v>
      </c>
      <c r="R236" s="16">
        <v>4.7699999999999999E-2</v>
      </c>
      <c r="S236" s="15"/>
      <c r="T236" s="15">
        <v>6</v>
      </c>
      <c r="U236" s="15" t="s">
        <v>181</v>
      </c>
      <c r="V236" s="15">
        <v>0.1</v>
      </c>
      <c r="W236" s="16">
        <v>9.2999999999999992E-3</v>
      </c>
      <c r="X236" s="43"/>
      <c r="Y236" s="15"/>
      <c r="Z236" s="44"/>
      <c r="AA236" s="15"/>
      <c r="AB236" s="15"/>
      <c r="AC236" s="15"/>
      <c r="AD236" s="43"/>
      <c r="AE236" s="15"/>
      <c r="AF236" s="44"/>
      <c r="AG236" s="15"/>
      <c r="AH236" s="15"/>
      <c r="AI236" s="15"/>
      <c r="AJ236" s="15"/>
      <c r="AK236" s="44"/>
      <c r="AL236" s="16"/>
    </row>
    <row r="237" spans="2:38" ht="14" customHeight="1" x14ac:dyDescent="0.25">
      <c r="B237" s="15">
        <v>7</v>
      </c>
      <c r="C237" s="15" t="s">
        <v>104</v>
      </c>
      <c r="D237" s="43">
        <v>1.7</v>
      </c>
      <c r="E237" s="16">
        <v>3.0499999999999999E-2</v>
      </c>
      <c r="I237" s="15">
        <v>7</v>
      </c>
      <c r="J237" s="43" t="s">
        <v>104</v>
      </c>
      <c r="K237" s="15">
        <v>10.11</v>
      </c>
      <c r="L237" s="16">
        <v>2.8500000000000001E-2</v>
      </c>
      <c r="O237" s="15">
        <v>7</v>
      </c>
      <c r="P237" s="15" t="s">
        <v>370</v>
      </c>
      <c r="Q237" s="15">
        <v>1.51</v>
      </c>
      <c r="R237" s="16">
        <v>3.3500000000000002E-2</v>
      </c>
      <c r="S237" s="15"/>
      <c r="T237" s="15">
        <v>7</v>
      </c>
      <c r="U237" s="15" t="s">
        <v>370</v>
      </c>
      <c r="V237" s="15">
        <v>0.06</v>
      </c>
      <c r="W237" s="16">
        <v>5.7000000000000002E-3</v>
      </c>
      <c r="X237" s="43"/>
      <c r="Y237" s="15"/>
      <c r="Z237" s="44"/>
      <c r="AA237" s="15"/>
      <c r="AB237" s="15"/>
      <c r="AC237" s="15"/>
      <c r="AD237" s="43"/>
      <c r="AE237" s="15"/>
      <c r="AF237" s="44"/>
      <c r="AG237" s="15"/>
      <c r="AH237" s="15"/>
      <c r="AI237" s="15"/>
      <c r="AJ237" s="15"/>
      <c r="AK237" s="44"/>
      <c r="AL237" s="16"/>
    </row>
    <row r="238" spans="2:38" ht="14" customHeight="1" x14ac:dyDescent="0.25">
      <c r="B238" s="15">
        <v>8</v>
      </c>
      <c r="C238" s="15" t="s">
        <v>370</v>
      </c>
      <c r="D238" s="43">
        <v>1.57</v>
      </c>
      <c r="E238" s="16">
        <v>2.81E-2</v>
      </c>
      <c r="I238" s="15">
        <v>8</v>
      </c>
      <c r="J238" s="43" t="s">
        <v>369</v>
      </c>
      <c r="K238" s="15">
        <v>7.84</v>
      </c>
      <c r="L238" s="16">
        <v>2.2100000000000002E-2</v>
      </c>
      <c r="O238" s="15">
        <v>8</v>
      </c>
      <c r="P238" s="15" t="s">
        <v>369</v>
      </c>
      <c r="Q238" s="15">
        <v>1.25</v>
      </c>
      <c r="R238" s="16">
        <v>2.7799999999999998E-2</v>
      </c>
      <c r="S238" s="15"/>
      <c r="T238" s="15">
        <v>8</v>
      </c>
      <c r="U238" s="15" t="s">
        <v>101</v>
      </c>
      <c r="V238" s="15">
        <v>0.03</v>
      </c>
      <c r="W238" s="16">
        <v>3.0000000000000001E-3</v>
      </c>
      <c r="X238" s="43"/>
      <c r="Y238" s="15"/>
      <c r="Z238" s="44"/>
      <c r="AA238" s="15"/>
      <c r="AB238" s="15"/>
      <c r="AC238" s="15"/>
      <c r="AD238" s="43"/>
      <c r="AE238" s="15"/>
      <c r="AF238" s="44"/>
      <c r="AG238" s="15"/>
      <c r="AH238" s="15"/>
      <c r="AI238" s="15"/>
      <c r="AJ238" s="15"/>
      <c r="AK238" s="44"/>
      <c r="AL238" s="16"/>
    </row>
    <row r="239" spans="2:38" ht="14" customHeight="1" x14ac:dyDescent="0.25">
      <c r="B239" s="15">
        <v>9</v>
      </c>
      <c r="C239" s="15" t="s">
        <v>369</v>
      </c>
      <c r="D239" s="43">
        <v>1.25</v>
      </c>
      <c r="E239" s="16">
        <v>2.23E-2</v>
      </c>
      <c r="I239" s="15">
        <v>9</v>
      </c>
      <c r="J239" s="43" t="s">
        <v>370</v>
      </c>
      <c r="K239" s="15">
        <v>7.52</v>
      </c>
      <c r="L239" s="16">
        <v>2.12E-2</v>
      </c>
      <c r="O239" s="15">
        <v>9</v>
      </c>
      <c r="P239" s="15" t="s">
        <v>385</v>
      </c>
      <c r="Q239" s="15">
        <v>1.05</v>
      </c>
      <c r="R239" s="16">
        <v>2.3300000000000001E-2</v>
      </c>
      <c r="S239" s="15"/>
      <c r="T239" s="15">
        <v>9</v>
      </c>
      <c r="U239" s="15" t="s">
        <v>25</v>
      </c>
      <c r="V239" s="15">
        <v>0.01</v>
      </c>
      <c r="W239" s="16">
        <v>1.4E-3</v>
      </c>
      <c r="X239" s="43"/>
      <c r="Y239" s="15"/>
      <c r="Z239" s="44"/>
      <c r="AA239" s="15"/>
      <c r="AB239" s="15"/>
      <c r="AC239" s="15"/>
      <c r="AD239" s="43"/>
      <c r="AE239" s="15"/>
      <c r="AF239" s="44"/>
      <c r="AG239" s="15"/>
      <c r="AH239" s="15"/>
      <c r="AI239" s="15"/>
      <c r="AJ239" s="15"/>
      <c r="AK239" s="44"/>
      <c r="AL239" s="16"/>
    </row>
    <row r="240" spans="2:38" ht="14" customHeight="1" x14ac:dyDescent="0.25">
      <c r="B240" s="15">
        <v>10</v>
      </c>
      <c r="C240" s="15" t="s">
        <v>385</v>
      </c>
      <c r="D240" s="43">
        <v>1.05</v>
      </c>
      <c r="E240" s="16">
        <v>1.8700000000000001E-2</v>
      </c>
      <c r="I240" s="15">
        <v>10</v>
      </c>
      <c r="J240" s="43" t="s">
        <v>385</v>
      </c>
      <c r="K240" s="15">
        <v>7.17</v>
      </c>
      <c r="L240" s="16">
        <v>2.0199999999999999E-2</v>
      </c>
      <c r="O240" s="15">
        <v>10</v>
      </c>
      <c r="P240" s="15" t="s">
        <v>104</v>
      </c>
      <c r="Q240" s="15">
        <v>0.72</v>
      </c>
      <c r="R240" s="16">
        <v>1.61E-2</v>
      </c>
      <c r="S240" s="15"/>
      <c r="T240" s="15">
        <v>10</v>
      </c>
      <c r="U240" s="15" t="s">
        <v>356</v>
      </c>
      <c r="V240" s="15">
        <v>5.0000000000000001E-3</v>
      </c>
      <c r="W240" s="16">
        <v>5.0000000000000001E-4</v>
      </c>
      <c r="X240" s="43"/>
      <c r="Y240" s="15"/>
      <c r="Z240" s="44"/>
      <c r="AA240" s="15"/>
      <c r="AB240" s="15"/>
      <c r="AC240" s="15"/>
      <c r="AD240" s="43"/>
      <c r="AE240" s="15"/>
      <c r="AF240" s="44"/>
      <c r="AG240" s="15"/>
      <c r="AH240" s="15"/>
      <c r="AI240" s="15"/>
      <c r="AJ240" s="15"/>
      <c r="AK240" s="44"/>
      <c r="AL240" s="16"/>
    </row>
    <row r="241" spans="2:38" ht="14" customHeight="1" x14ac:dyDescent="0.25">
      <c r="B241" s="15">
        <v>11</v>
      </c>
      <c r="C241" s="15" t="s">
        <v>172</v>
      </c>
      <c r="D241" s="43">
        <v>0.94</v>
      </c>
      <c r="E241" s="16">
        <v>1.6899999999999998E-2</v>
      </c>
      <c r="I241" s="15">
        <v>11</v>
      </c>
      <c r="J241" s="43" t="s">
        <v>172</v>
      </c>
      <c r="K241" s="15">
        <v>5.12</v>
      </c>
      <c r="L241" s="16">
        <v>1.44E-2</v>
      </c>
      <c r="O241" s="15">
        <v>11</v>
      </c>
      <c r="P241" s="15" t="s">
        <v>349</v>
      </c>
      <c r="Q241" s="15">
        <v>0.52</v>
      </c>
      <c r="R241" s="16">
        <v>1.17E-2</v>
      </c>
      <c r="S241" s="15"/>
      <c r="T241" s="15">
        <v>11</v>
      </c>
      <c r="U241" s="15" t="s">
        <v>355</v>
      </c>
      <c r="V241" s="15">
        <v>3.0000000000000001E-3</v>
      </c>
      <c r="W241" s="16">
        <v>2.9999999999999997E-4</v>
      </c>
      <c r="X241" s="43"/>
      <c r="Y241" s="15"/>
      <c r="Z241" s="44"/>
      <c r="AA241" s="15"/>
      <c r="AB241" s="15"/>
      <c r="AC241" s="15"/>
      <c r="AD241" s="43"/>
      <c r="AE241" s="15"/>
      <c r="AF241" s="44"/>
      <c r="AG241" s="15"/>
      <c r="AH241" s="15"/>
      <c r="AI241" s="15"/>
      <c r="AJ241" s="15"/>
      <c r="AK241" s="44"/>
      <c r="AL241" s="16"/>
    </row>
    <row r="242" spans="2:38" ht="14" customHeight="1" x14ac:dyDescent="0.25">
      <c r="B242" s="15">
        <v>12</v>
      </c>
      <c r="C242" s="15" t="s">
        <v>349</v>
      </c>
      <c r="D242" s="43">
        <v>0.52</v>
      </c>
      <c r="E242" s="16">
        <v>9.4000000000000004E-3</v>
      </c>
      <c r="I242" s="15">
        <v>12</v>
      </c>
      <c r="J242" s="43" t="s">
        <v>328</v>
      </c>
      <c r="K242" s="15">
        <v>3.76</v>
      </c>
      <c r="L242" s="16">
        <v>1.06E-2</v>
      </c>
      <c r="O242" s="15">
        <v>12</v>
      </c>
      <c r="P242" s="15" t="s">
        <v>328</v>
      </c>
      <c r="Q242" s="15">
        <v>0.48</v>
      </c>
      <c r="R242" s="16">
        <v>1.06E-2</v>
      </c>
      <c r="S242" s="15"/>
      <c r="T242" s="15">
        <v>12</v>
      </c>
      <c r="U242" s="15" t="s">
        <v>185</v>
      </c>
      <c r="V242" s="15">
        <v>0</v>
      </c>
      <c r="W242" s="16">
        <v>0</v>
      </c>
      <c r="X242" s="43"/>
      <c r="Y242" s="15"/>
      <c r="Z242" s="44"/>
      <c r="AA242" s="15"/>
      <c r="AB242" s="15"/>
      <c r="AC242" s="15"/>
      <c r="AD242" s="43"/>
      <c r="AE242" s="15"/>
      <c r="AF242" s="44"/>
      <c r="AG242" s="15"/>
      <c r="AH242" s="15"/>
      <c r="AI242" s="15"/>
      <c r="AJ242" s="15"/>
      <c r="AK242" s="44"/>
      <c r="AL242" s="16"/>
    </row>
    <row r="243" spans="2:38" ht="14" customHeight="1" x14ac:dyDescent="0.25">
      <c r="B243" s="15">
        <v>13</v>
      </c>
      <c r="C243" s="15" t="s">
        <v>328</v>
      </c>
      <c r="D243" s="43">
        <v>0.48</v>
      </c>
      <c r="E243" s="16">
        <v>8.5000000000000006E-3</v>
      </c>
      <c r="I243" s="15">
        <v>13</v>
      </c>
      <c r="J243" s="43" t="s">
        <v>329</v>
      </c>
      <c r="K243" s="15">
        <v>2.4700000000000002</v>
      </c>
      <c r="L243" s="16">
        <v>7.0000000000000001E-3</v>
      </c>
      <c r="O243" s="15">
        <v>13</v>
      </c>
      <c r="P243" s="15" t="s">
        <v>358</v>
      </c>
      <c r="Q243" s="15">
        <v>0.37</v>
      </c>
      <c r="R243" s="16">
        <v>8.3000000000000001E-3</v>
      </c>
      <c r="S243" s="15"/>
      <c r="T243" s="15">
        <v>13</v>
      </c>
      <c r="U243" s="15" t="s">
        <v>392</v>
      </c>
      <c r="V243" s="15">
        <v>0</v>
      </c>
      <c r="W243" s="16">
        <v>0</v>
      </c>
      <c r="X243" s="43"/>
      <c r="Y243" s="15"/>
      <c r="Z243" s="44"/>
      <c r="AA243" s="15"/>
      <c r="AB243" s="15"/>
      <c r="AC243" s="15"/>
      <c r="AD243" s="43"/>
      <c r="AE243" s="15"/>
      <c r="AF243" s="44"/>
      <c r="AG243" s="15"/>
      <c r="AH243" s="15"/>
      <c r="AI243" s="15"/>
      <c r="AJ243" s="15"/>
      <c r="AK243" s="44"/>
      <c r="AL243" s="16"/>
    </row>
    <row r="244" spans="2:38" ht="14" customHeight="1" x14ac:dyDescent="0.25">
      <c r="B244" s="15">
        <v>14</v>
      </c>
      <c r="C244" s="15" t="s">
        <v>358</v>
      </c>
      <c r="D244" s="43">
        <v>0.37</v>
      </c>
      <c r="E244" s="16">
        <v>6.7000000000000002E-3</v>
      </c>
      <c r="I244" s="15">
        <v>14</v>
      </c>
      <c r="J244" s="43" t="s">
        <v>349</v>
      </c>
      <c r="K244" s="15">
        <v>2.42</v>
      </c>
      <c r="L244" s="16">
        <v>6.7999999999999996E-3</v>
      </c>
      <c r="O244" s="15">
        <v>14</v>
      </c>
      <c r="P244" s="15" t="s">
        <v>329</v>
      </c>
      <c r="Q244" s="15">
        <v>0.26</v>
      </c>
      <c r="R244" s="16">
        <v>5.8999999999999999E-3</v>
      </c>
      <c r="S244" s="15"/>
      <c r="T244" s="15"/>
      <c r="U244" s="15"/>
      <c r="V244" s="15"/>
      <c r="W244" s="15"/>
      <c r="X244" s="43"/>
      <c r="Y244" s="15"/>
      <c r="Z244" s="44"/>
      <c r="AA244" s="15"/>
      <c r="AB244" s="15"/>
      <c r="AC244" s="15"/>
      <c r="AD244" s="43"/>
      <c r="AE244" s="15"/>
      <c r="AF244" s="44"/>
      <c r="AG244" s="15"/>
      <c r="AH244" s="15"/>
      <c r="AI244" s="15"/>
      <c r="AJ244" s="15"/>
      <c r="AK244" s="44"/>
      <c r="AL244" s="16"/>
    </row>
    <row r="245" spans="2:38" ht="14" customHeight="1" x14ac:dyDescent="0.25">
      <c r="B245" s="15">
        <v>15</v>
      </c>
      <c r="C245" s="15" t="s">
        <v>329</v>
      </c>
      <c r="D245" s="43">
        <v>0.26</v>
      </c>
      <c r="E245" s="16">
        <v>4.7000000000000002E-3</v>
      </c>
      <c r="I245" s="15">
        <v>15</v>
      </c>
      <c r="J245" s="43" t="s">
        <v>358</v>
      </c>
      <c r="K245" s="15">
        <v>1.68</v>
      </c>
      <c r="L245" s="16">
        <v>4.7000000000000002E-3</v>
      </c>
      <c r="O245" s="15">
        <v>15</v>
      </c>
      <c r="P245" s="15" t="s">
        <v>185</v>
      </c>
      <c r="Q245" s="15">
        <v>0.14000000000000001</v>
      </c>
      <c r="R245" s="16">
        <v>3.0999999999999999E-3</v>
      </c>
      <c r="S245" s="15"/>
      <c r="T245" s="15"/>
      <c r="U245" s="15"/>
      <c r="V245" s="15"/>
      <c r="W245" s="15"/>
      <c r="X245" s="43"/>
      <c r="Y245" s="15"/>
      <c r="Z245" s="44"/>
      <c r="AA245" s="15"/>
      <c r="AB245" s="15"/>
      <c r="AC245" s="15"/>
      <c r="AD245" s="43"/>
      <c r="AE245" s="15"/>
      <c r="AF245" s="44"/>
      <c r="AG245" s="15"/>
      <c r="AH245" s="15"/>
      <c r="AI245" s="15"/>
      <c r="AJ245" s="15"/>
      <c r="AK245" s="44"/>
      <c r="AL245" s="16"/>
    </row>
    <row r="246" spans="2:38" ht="14" customHeight="1" x14ac:dyDescent="0.25">
      <c r="D246" s="43"/>
      <c r="J246" s="43"/>
      <c r="O246" s="43"/>
      <c r="P246" s="15"/>
      <c r="Q246" s="15"/>
      <c r="R246" s="15"/>
      <c r="S246" s="15"/>
      <c r="T246" s="15"/>
      <c r="U246" s="15"/>
      <c r="V246" s="15"/>
      <c r="W246" s="15"/>
      <c r="X246" s="43"/>
      <c r="Y246" s="15"/>
      <c r="Z246" s="44"/>
      <c r="AA246" s="15"/>
      <c r="AB246" s="15"/>
      <c r="AC246" s="15"/>
      <c r="AD246" s="43"/>
      <c r="AE246" s="15"/>
      <c r="AF246" s="44"/>
      <c r="AG246" s="15"/>
      <c r="AH246" s="15"/>
      <c r="AI246" s="15"/>
      <c r="AJ246" s="15"/>
      <c r="AK246" s="44"/>
      <c r="AL246" s="16"/>
    </row>
    <row r="247" spans="2:38" ht="14" customHeight="1" x14ac:dyDescent="0.25">
      <c r="B247" s="15" t="s">
        <v>393</v>
      </c>
      <c r="D247" s="43"/>
      <c r="I247" s="15" t="s">
        <v>394</v>
      </c>
      <c r="O247" s="25" t="s">
        <v>395</v>
      </c>
      <c r="T247" s="25" t="s">
        <v>396</v>
      </c>
      <c r="X247" s="227"/>
      <c r="Y247" s="46"/>
      <c r="Z247" s="47"/>
      <c r="AD247" s="227"/>
      <c r="AF247" s="47"/>
      <c r="AK247" s="228"/>
      <c r="AL247" s="47"/>
    </row>
    <row r="248" spans="2:38" ht="14" customHeight="1" x14ac:dyDescent="0.25">
      <c r="B248" s="9" t="s">
        <v>334</v>
      </c>
      <c r="C248" s="9" t="s">
        <v>335</v>
      </c>
      <c r="D248" s="9" t="s">
        <v>336</v>
      </c>
      <c r="E248" s="15" t="s">
        <v>384</v>
      </c>
      <c r="I248" s="9" t="s">
        <v>334</v>
      </c>
      <c r="J248" s="9" t="s">
        <v>335</v>
      </c>
      <c r="K248" s="9" t="s">
        <v>336</v>
      </c>
      <c r="L248" s="15" t="s">
        <v>384</v>
      </c>
      <c r="O248" s="15" t="s">
        <v>380</v>
      </c>
      <c r="P248" s="15" t="s">
        <v>381</v>
      </c>
      <c r="Q248" s="15" t="s">
        <v>382</v>
      </c>
      <c r="R248" s="15" t="s">
        <v>384</v>
      </c>
      <c r="T248" s="15" t="s">
        <v>380</v>
      </c>
      <c r="U248" s="15" t="s">
        <v>381</v>
      </c>
      <c r="V248" s="15" t="s">
        <v>382</v>
      </c>
      <c r="W248" s="15" t="s">
        <v>384</v>
      </c>
      <c r="X248" s="227"/>
      <c r="Y248" s="46"/>
      <c r="Z248" s="47"/>
      <c r="AD248" s="227"/>
      <c r="AF248" s="47"/>
      <c r="AK248" s="228"/>
      <c r="AL248" s="47"/>
    </row>
    <row r="249" spans="2:38" ht="14" customHeight="1" x14ac:dyDescent="0.25">
      <c r="B249" s="9">
        <v>1</v>
      </c>
      <c r="C249" s="9" t="s">
        <v>68</v>
      </c>
      <c r="D249" s="9">
        <v>25.41</v>
      </c>
      <c r="E249" s="45">
        <v>0.43669999999999998</v>
      </c>
      <c r="I249" s="9">
        <v>1</v>
      </c>
      <c r="J249" s="9" t="s">
        <v>68</v>
      </c>
      <c r="K249" s="9">
        <v>128.6</v>
      </c>
      <c r="L249" s="45">
        <v>0.43049999999999999</v>
      </c>
      <c r="O249" s="15">
        <v>1</v>
      </c>
      <c r="P249" s="15" t="s">
        <v>98</v>
      </c>
      <c r="Q249" s="15">
        <v>17.77</v>
      </c>
      <c r="R249" s="16">
        <v>0.37459999999999999</v>
      </c>
      <c r="T249" s="15">
        <v>1</v>
      </c>
      <c r="U249" s="15" t="s">
        <v>98</v>
      </c>
      <c r="V249" s="15">
        <v>7.64</v>
      </c>
      <c r="W249" s="16">
        <v>0.71230000000000004</v>
      </c>
      <c r="X249" s="227"/>
      <c r="Y249" s="46"/>
      <c r="Z249" s="47"/>
      <c r="AD249" s="227"/>
      <c r="AF249" s="47"/>
      <c r="AK249" s="228"/>
      <c r="AL249" s="47"/>
    </row>
    <row r="250" spans="2:38" ht="14" customHeight="1" x14ac:dyDescent="0.25">
      <c r="B250" s="9">
        <v>2</v>
      </c>
      <c r="C250" s="9" t="s">
        <v>69</v>
      </c>
      <c r="D250" s="9">
        <v>12.49</v>
      </c>
      <c r="E250" s="45">
        <v>0.2147</v>
      </c>
      <c r="I250" s="9">
        <v>2</v>
      </c>
      <c r="J250" s="9" t="s">
        <v>69</v>
      </c>
      <c r="K250" s="9">
        <v>70.37</v>
      </c>
      <c r="L250" s="45">
        <v>0.23549999999999999</v>
      </c>
      <c r="O250" s="15">
        <v>2</v>
      </c>
      <c r="P250" s="15" t="s">
        <v>99</v>
      </c>
      <c r="Q250" s="15">
        <v>12.49</v>
      </c>
      <c r="R250" s="16">
        <v>0.26340000000000002</v>
      </c>
      <c r="T250" s="15">
        <v>2</v>
      </c>
      <c r="U250" s="15" t="s">
        <v>100</v>
      </c>
      <c r="V250" s="15">
        <v>1.17</v>
      </c>
      <c r="W250" s="16">
        <v>0.1091</v>
      </c>
      <c r="X250" s="227"/>
      <c r="Y250" s="46"/>
      <c r="Z250" s="47"/>
      <c r="AD250" s="227"/>
      <c r="AF250" s="47"/>
      <c r="AK250" s="228"/>
      <c r="AL250" s="47"/>
    </row>
    <row r="251" spans="2:38" ht="14" customHeight="1" x14ac:dyDescent="0.25">
      <c r="B251" s="9">
        <v>3</v>
      </c>
      <c r="C251" s="9" t="s">
        <v>71</v>
      </c>
      <c r="D251" s="9">
        <v>4.3899999999999997</v>
      </c>
      <c r="E251" s="45">
        <v>7.5499999999999998E-2</v>
      </c>
      <c r="I251" s="9">
        <v>3</v>
      </c>
      <c r="J251" s="9" t="s">
        <v>71</v>
      </c>
      <c r="K251" s="9">
        <v>19.46</v>
      </c>
      <c r="L251" s="45">
        <v>6.5199999999999994E-2</v>
      </c>
      <c r="O251" s="15">
        <v>3</v>
      </c>
      <c r="P251" s="15" t="s">
        <v>100</v>
      </c>
      <c r="Q251" s="15">
        <v>3.23</v>
      </c>
      <c r="R251" s="16">
        <v>6.8000000000000005E-2</v>
      </c>
      <c r="T251" s="15">
        <v>3</v>
      </c>
      <c r="U251" s="15" t="s">
        <v>172</v>
      </c>
      <c r="V251" s="15">
        <v>0.94</v>
      </c>
      <c r="W251" s="16">
        <v>8.7599999999999997E-2</v>
      </c>
      <c r="X251" s="227"/>
      <c r="Y251" s="46"/>
      <c r="Z251" s="47"/>
      <c r="AD251" s="227"/>
      <c r="AF251" s="47"/>
      <c r="AK251" s="228"/>
      <c r="AL251" s="47"/>
    </row>
    <row r="252" spans="2:38" ht="14" customHeight="1" x14ac:dyDescent="0.25">
      <c r="B252" s="9">
        <v>4</v>
      </c>
      <c r="C252" s="9" t="s">
        <v>70</v>
      </c>
      <c r="D252" s="9">
        <v>2.92</v>
      </c>
      <c r="E252" s="45">
        <v>5.0200000000000002E-2</v>
      </c>
      <c r="I252" s="9">
        <v>4</v>
      </c>
      <c r="J252" s="9" t="s">
        <v>70</v>
      </c>
      <c r="K252" s="9">
        <v>15.48</v>
      </c>
      <c r="L252" s="45">
        <v>5.1799999999999999E-2</v>
      </c>
      <c r="O252" s="15">
        <v>4</v>
      </c>
      <c r="P252" s="15" t="s">
        <v>101</v>
      </c>
      <c r="Q252" s="15">
        <v>2.87</v>
      </c>
      <c r="R252" s="16">
        <v>6.0400000000000002E-2</v>
      </c>
      <c r="T252" s="15">
        <v>4</v>
      </c>
      <c r="U252" s="15" t="s">
        <v>104</v>
      </c>
      <c r="V252" s="15">
        <v>0.69</v>
      </c>
      <c r="W252" s="16">
        <v>6.4199999999999993E-2</v>
      </c>
      <c r="X252" s="227"/>
      <c r="Y252" s="46"/>
      <c r="Z252" s="47"/>
      <c r="AD252" s="227"/>
      <c r="AF252" s="47"/>
      <c r="AK252" s="228"/>
      <c r="AL252" s="47"/>
    </row>
    <row r="253" spans="2:38" ht="14" customHeight="1" x14ac:dyDescent="0.25">
      <c r="B253" s="9">
        <v>5</v>
      </c>
      <c r="C253" s="9" t="s">
        <v>73</v>
      </c>
      <c r="D253" s="9">
        <v>2.5299999999999998</v>
      </c>
      <c r="E253" s="45">
        <v>4.3499999999999997E-2</v>
      </c>
      <c r="I253" s="9">
        <v>5</v>
      </c>
      <c r="J253" s="9" t="s">
        <v>73</v>
      </c>
      <c r="K253" s="9">
        <v>12.21</v>
      </c>
      <c r="L253" s="45">
        <v>4.0899999999999999E-2</v>
      </c>
      <c r="O253" s="15">
        <v>5</v>
      </c>
      <c r="P253" s="15" t="s">
        <v>103</v>
      </c>
      <c r="Q253" s="15">
        <v>2.52</v>
      </c>
      <c r="R253" s="16">
        <v>5.3199999999999997E-2</v>
      </c>
      <c r="T253" s="15">
        <v>5</v>
      </c>
      <c r="U253" s="15" t="s">
        <v>181</v>
      </c>
      <c r="V253" s="15">
        <v>0.09</v>
      </c>
      <c r="W253" s="16">
        <v>8.0000000000000002E-3</v>
      </c>
      <c r="X253" s="227"/>
      <c r="Y253" s="46"/>
      <c r="Z253" s="47"/>
      <c r="AD253" s="227"/>
      <c r="AF253" s="47"/>
      <c r="AK253" s="228"/>
      <c r="AL253" s="47"/>
    </row>
    <row r="254" spans="2:38" ht="14" customHeight="1" x14ac:dyDescent="0.25">
      <c r="B254" s="9">
        <v>6</v>
      </c>
      <c r="C254" s="9" t="s">
        <v>129</v>
      </c>
      <c r="D254" s="9">
        <v>2.17</v>
      </c>
      <c r="E254" s="45">
        <v>3.7199999999999997E-2</v>
      </c>
      <c r="I254" s="9">
        <v>6</v>
      </c>
      <c r="J254" s="9" t="s">
        <v>129</v>
      </c>
      <c r="K254" s="9">
        <v>9.07</v>
      </c>
      <c r="L254" s="45">
        <v>3.0300000000000001E-2</v>
      </c>
      <c r="O254" s="15">
        <v>6</v>
      </c>
      <c r="P254" s="15" t="s">
        <v>181</v>
      </c>
      <c r="Q254" s="15">
        <v>2.08</v>
      </c>
      <c r="R254" s="16">
        <v>4.3900000000000002E-2</v>
      </c>
      <c r="T254" s="15">
        <v>6</v>
      </c>
      <c r="U254" s="15" t="s">
        <v>185</v>
      </c>
      <c r="V254" s="15">
        <v>0.05</v>
      </c>
      <c r="W254" s="16">
        <v>4.8999999999999998E-3</v>
      </c>
      <c r="X254" s="227"/>
      <c r="Y254" s="46"/>
      <c r="Z254" s="47"/>
      <c r="AD254" s="227"/>
      <c r="AF254" s="47"/>
      <c r="AK254" s="228"/>
      <c r="AL254" s="47"/>
    </row>
    <row r="255" spans="2:38" ht="14" customHeight="1" x14ac:dyDescent="0.25">
      <c r="B255" s="9">
        <v>7</v>
      </c>
      <c r="C255" s="9" t="s">
        <v>323</v>
      </c>
      <c r="D255" s="9">
        <v>1.28</v>
      </c>
      <c r="E255" s="45">
        <v>2.2100000000000002E-2</v>
      </c>
      <c r="I255" s="9">
        <v>7</v>
      </c>
      <c r="J255" s="9" t="s">
        <v>74</v>
      </c>
      <c r="K255" s="9">
        <v>8.4</v>
      </c>
      <c r="L255" s="45">
        <v>2.81E-2</v>
      </c>
      <c r="O255" s="15">
        <v>7</v>
      </c>
      <c r="P255" s="15" t="s">
        <v>369</v>
      </c>
      <c r="Q255" s="15">
        <v>1.28</v>
      </c>
      <c r="R255" s="16">
        <v>2.69E-2</v>
      </c>
      <c r="T255" s="15">
        <v>7</v>
      </c>
      <c r="U255" s="15" t="s">
        <v>101</v>
      </c>
      <c r="V255" s="15">
        <v>0.05</v>
      </c>
      <c r="W255" s="16">
        <v>4.7999999999999996E-3</v>
      </c>
      <c r="X255" s="227"/>
      <c r="Y255" s="46"/>
      <c r="Z255" s="47"/>
      <c r="AD255" s="227"/>
      <c r="AF255" s="47"/>
      <c r="AK255" s="228"/>
      <c r="AL255" s="47"/>
    </row>
    <row r="256" spans="2:38" ht="14" customHeight="1" x14ac:dyDescent="0.25">
      <c r="B256" s="9">
        <v>8</v>
      </c>
      <c r="C256" s="9" t="s">
        <v>322</v>
      </c>
      <c r="D256" s="9">
        <v>1.28</v>
      </c>
      <c r="E256" s="45">
        <v>2.1999999999999999E-2</v>
      </c>
      <c r="I256" s="9">
        <v>8</v>
      </c>
      <c r="J256" s="9" t="s">
        <v>322</v>
      </c>
      <c r="K256" s="9">
        <v>6.59</v>
      </c>
      <c r="L256" s="45">
        <v>2.2100000000000002E-2</v>
      </c>
      <c r="O256" s="15">
        <v>8</v>
      </c>
      <c r="P256" s="15" t="s">
        <v>370</v>
      </c>
      <c r="Q256" s="15">
        <v>1.23</v>
      </c>
      <c r="R256" s="16">
        <v>2.5999999999999999E-2</v>
      </c>
      <c r="T256" s="15">
        <v>8</v>
      </c>
      <c r="U256" s="15" t="s">
        <v>370</v>
      </c>
      <c r="V256" s="15">
        <v>0.05</v>
      </c>
      <c r="W256" s="16">
        <v>4.7000000000000002E-3</v>
      </c>
      <c r="X256" s="227"/>
      <c r="Y256" s="46"/>
      <c r="Z256" s="47"/>
      <c r="AD256" s="227"/>
      <c r="AF256" s="47"/>
      <c r="AK256" s="228"/>
      <c r="AL256" s="47"/>
    </row>
    <row r="257" spans="2:38" ht="14" customHeight="1" x14ac:dyDescent="0.25">
      <c r="B257" s="9">
        <v>9</v>
      </c>
      <c r="C257" s="9" t="s">
        <v>74</v>
      </c>
      <c r="D257" s="9">
        <v>1.2</v>
      </c>
      <c r="E257" s="45">
        <v>2.06E-2</v>
      </c>
      <c r="I257" s="9">
        <v>9</v>
      </c>
      <c r="J257" s="9" t="s">
        <v>323</v>
      </c>
      <c r="K257" s="9">
        <v>5.95</v>
      </c>
      <c r="L257" s="45">
        <v>1.9900000000000001E-2</v>
      </c>
      <c r="O257" s="15">
        <v>9</v>
      </c>
      <c r="P257" s="15" t="s">
        <v>328</v>
      </c>
      <c r="Q257" s="15">
        <v>1.08</v>
      </c>
      <c r="R257" s="16">
        <v>2.2800000000000001E-2</v>
      </c>
      <c r="T257" s="15">
        <v>9</v>
      </c>
      <c r="U257" s="15" t="s">
        <v>25</v>
      </c>
      <c r="V257" s="15">
        <v>0.02</v>
      </c>
      <c r="W257" s="16">
        <v>2E-3</v>
      </c>
      <c r="X257" s="227"/>
      <c r="Y257" s="46"/>
      <c r="Z257" s="47"/>
      <c r="AD257" s="227"/>
      <c r="AF257" s="47"/>
      <c r="AK257" s="228"/>
      <c r="AL257" s="47"/>
    </row>
    <row r="258" spans="2:38" ht="14" customHeight="1" x14ac:dyDescent="0.25">
      <c r="B258" s="9">
        <v>10</v>
      </c>
      <c r="C258" s="9" t="s">
        <v>325</v>
      </c>
      <c r="D258" s="9">
        <v>1.08</v>
      </c>
      <c r="E258" s="45">
        <v>1.8599999999999998E-2</v>
      </c>
      <c r="I258" s="9">
        <v>10</v>
      </c>
      <c r="J258" s="9" t="s">
        <v>397</v>
      </c>
      <c r="K258" s="9">
        <v>4.2300000000000004</v>
      </c>
      <c r="L258" s="45">
        <v>1.41E-2</v>
      </c>
      <c r="O258" s="15">
        <v>10</v>
      </c>
      <c r="P258" s="15" t="s">
        <v>398</v>
      </c>
      <c r="Q258" s="15">
        <v>0.68</v>
      </c>
      <c r="R258" s="16">
        <v>1.43E-2</v>
      </c>
      <c r="T258" s="15">
        <v>10</v>
      </c>
      <c r="U258" s="15" t="s">
        <v>355</v>
      </c>
      <c r="V258" s="15">
        <v>1.7999999999999999E-2</v>
      </c>
      <c r="W258" s="16">
        <v>1.6999999999999999E-3</v>
      </c>
      <c r="X258" s="227"/>
      <c r="Y258" s="46"/>
      <c r="Z258" s="47"/>
      <c r="AD258" s="227"/>
      <c r="AF258" s="47"/>
      <c r="AK258" s="228"/>
      <c r="AL258" s="47"/>
    </row>
    <row r="259" spans="2:38" ht="14" customHeight="1" x14ac:dyDescent="0.25">
      <c r="B259" s="9">
        <v>11</v>
      </c>
      <c r="C259" s="9" t="s">
        <v>127</v>
      </c>
      <c r="D259" s="9">
        <v>0.94</v>
      </c>
      <c r="E259" s="45">
        <v>1.61E-2</v>
      </c>
      <c r="I259" s="9">
        <v>11</v>
      </c>
      <c r="J259" s="9" t="s">
        <v>127</v>
      </c>
      <c r="K259" s="9">
        <v>4.18</v>
      </c>
      <c r="L259" s="45">
        <v>1.4E-2</v>
      </c>
      <c r="O259" s="15">
        <v>11</v>
      </c>
      <c r="P259" s="15" t="s">
        <v>104</v>
      </c>
      <c r="Q259" s="15">
        <v>0.51</v>
      </c>
      <c r="R259" s="16">
        <v>1.0699999999999999E-2</v>
      </c>
      <c r="T259" s="15">
        <v>11</v>
      </c>
      <c r="U259" s="15" t="s">
        <v>103</v>
      </c>
      <c r="V259" s="15">
        <v>7.0000000000000001E-3</v>
      </c>
      <c r="W259" s="16">
        <v>6.9999999999999999E-4</v>
      </c>
      <c r="X259" s="227"/>
      <c r="Y259" s="46"/>
      <c r="Z259" s="47"/>
      <c r="AD259" s="227"/>
      <c r="AF259" s="47"/>
      <c r="AK259" s="228"/>
      <c r="AL259" s="47"/>
    </row>
    <row r="260" spans="2:38" ht="14" customHeight="1" x14ac:dyDescent="0.25">
      <c r="B260" s="9">
        <v>12</v>
      </c>
      <c r="C260" s="9" t="s">
        <v>397</v>
      </c>
      <c r="D260" s="9">
        <v>0.68</v>
      </c>
      <c r="E260" s="45">
        <v>1.17E-2</v>
      </c>
      <c r="I260" s="9">
        <v>12</v>
      </c>
      <c r="J260" s="9" t="s">
        <v>325</v>
      </c>
      <c r="K260" s="9">
        <v>3.29</v>
      </c>
      <c r="L260" s="45">
        <v>1.0999999999999999E-2</v>
      </c>
      <c r="O260" s="15">
        <v>12</v>
      </c>
      <c r="P260" s="15" t="s">
        <v>349</v>
      </c>
      <c r="Q260" s="15">
        <v>0.44</v>
      </c>
      <c r="R260" s="16">
        <v>9.2999999999999992E-3</v>
      </c>
      <c r="T260" s="15">
        <v>12</v>
      </c>
      <c r="U260" s="15" t="s">
        <v>356</v>
      </c>
      <c r="V260" s="15">
        <v>0</v>
      </c>
      <c r="W260" s="16">
        <v>0</v>
      </c>
      <c r="X260" s="227"/>
      <c r="Y260" s="46"/>
      <c r="Z260" s="47"/>
      <c r="AD260" s="227"/>
      <c r="AF260" s="47"/>
      <c r="AK260" s="228"/>
      <c r="AL260" s="47"/>
    </row>
    <row r="261" spans="2:38" ht="14" customHeight="1" x14ac:dyDescent="0.25">
      <c r="B261" s="9">
        <v>13</v>
      </c>
      <c r="C261" s="9" t="s">
        <v>348</v>
      </c>
      <c r="D261" s="9">
        <v>0.44</v>
      </c>
      <c r="E261" s="45">
        <v>7.4999999999999997E-3</v>
      </c>
      <c r="I261" s="9">
        <v>13</v>
      </c>
      <c r="J261" s="9" t="s">
        <v>326</v>
      </c>
      <c r="K261" s="9">
        <v>2.2000000000000002</v>
      </c>
      <c r="L261" s="45">
        <v>7.4000000000000003E-3</v>
      </c>
      <c r="O261" s="15">
        <v>13</v>
      </c>
      <c r="P261" s="15" t="s">
        <v>329</v>
      </c>
      <c r="Q261" s="15">
        <v>0.25</v>
      </c>
      <c r="R261" s="16">
        <v>5.1999999999999998E-3</v>
      </c>
      <c r="T261" s="15">
        <v>13</v>
      </c>
      <c r="U261" s="15" t="s">
        <v>399</v>
      </c>
      <c r="V261" s="15">
        <v>0</v>
      </c>
      <c r="W261" s="16">
        <v>0</v>
      </c>
      <c r="X261" s="227"/>
      <c r="Y261" s="46"/>
      <c r="Z261" s="47"/>
      <c r="AD261" s="227"/>
      <c r="AF261" s="47"/>
      <c r="AK261" s="228"/>
      <c r="AL261" s="47"/>
    </row>
    <row r="262" spans="2:38" ht="14" customHeight="1" x14ac:dyDescent="0.25">
      <c r="B262" s="9">
        <v>14</v>
      </c>
      <c r="C262" s="9" t="s">
        <v>326</v>
      </c>
      <c r="D262" s="9">
        <v>0.25</v>
      </c>
      <c r="E262" s="45">
        <v>4.3E-3</v>
      </c>
      <c r="I262" s="9">
        <v>14</v>
      </c>
      <c r="J262" s="9" t="s">
        <v>348</v>
      </c>
      <c r="K262" s="9">
        <v>1.9</v>
      </c>
      <c r="L262" s="45">
        <v>6.3E-3</v>
      </c>
      <c r="O262" s="15">
        <v>14</v>
      </c>
      <c r="P262" s="15" t="s">
        <v>358</v>
      </c>
      <c r="Q262" s="15">
        <v>0.24</v>
      </c>
      <c r="R262" s="16">
        <v>5.1000000000000004E-3</v>
      </c>
      <c r="T262" s="15">
        <v>14</v>
      </c>
      <c r="U262" s="15" t="s">
        <v>99</v>
      </c>
      <c r="V262" s="15">
        <v>0</v>
      </c>
      <c r="W262" s="16">
        <v>0</v>
      </c>
      <c r="X262" s="227"/>
      <c r="Y262" s="46"/>
      <c r="Z262" s="47"/>
      <c r="AD262" s="227"/>
      <c r="AF262" s="47"/>
      <c r="AK262" s="228"/>
      <c r="AL262" s="47"/>
    </row>
    <row r="263" spans="2:38" ht="14" customHeight="1" x14ac:dyDescent="0.25">
      <c r="B263" s="9">
        <v>15</v>
      </c>
      <c r="C263" s="9" t="s">
        <v>343</v>
      </c>
      <c r="D263" s="9">
        <v>0.24</v>
      </c>
      <c r="E263" s="45">
        <v>4.1999999999999997E-3</v>
      </c>
      <c r="I263" s="9">
        <v>15</v>
      </c>
      <c r="J263" s="9" t="s">
        <v>343</v>
      </c>
      <c r="K263" s="9">
        <v>1.31</v>
      </c>
      <c r="L263" s="45">
        <v>4.4000000000000003E-3</v>
      </c>
      <c r="O263" s="15">
        <v>15</v>
      </c>
      <c r="P263" s="15" t="s">
        <v>387</v>
      </c>
      <c r="Q263" s="15">
        <v>0.18</v>
      </c>
      <c r="R263" s="16">
        <v>3.7000000000000002E-3</v>
      </c>
      <c r="T263" s="25"/>
      <c r="X263" s="227"/>
      <c r="Y263" s="46"/>
      <c r="Z263" s="47"/>
      <c r="AD263" s="227"/>
      <c r="AF263" s="47"/>
      <c r="AK263" s="228"/>
      <c r="AL263" s="47"/>
    </row>
    <row r="264" spans="2:38" ht="14" customHeight="1" x14ac:dyDescent="0.25">
      <c r="D264" s="43"/>
      <c r="O264" s="25"/>
      <c r="T264" s="25"/>
      <c r="X264" s="227"/>
      <c r="Y264" s="46"/>
      <c r="Z264" s="47"/>
      <c r="AD264" s="227"/>
      <c r="AF264" s="47"/>
      <c r="AK264" s="228"/>
      <c r="AL264" s="47"/>
    </row>
    <row r="265" spans="2:38" ht="14" customHeight="1" x14ac:dyDescent="0.25">
      <c r="B265" s="15" t="s">
        <v>400</v>
      </c>
      <c r="D265" s="43"/>
      <c r="I265" s="15" t="s">
        <v>401</v>
      </c>
      <c r="O265" s="25" t="s">
        <v>402</v>
      </c>
      <c r="T265" s="25" t="s">
        <v>403</v>
      </c>
      <c r="X265" s="227"/>
      <c r="Y265" s="46"/>
      <c r="Z265" s="47"/>
      <c r="AD265" s="227"/>
      <c r="AF265" s="47"/>
      <c r="AK265" s="228"/>
      <c r="AL265" s="47"/>
    </row>
    <row r="266" spans="2:38" ht="14" customHeight="1" x14ac:dyDescent="0.25">
      <c r="B266" s="9" t="s">
        <v>334</v>
      </c>
      <c r="C266" s="9" t="s">
        <v>335</v>
      </c>
      <c r="D266" s="9" t="s">
        <v>336</v>
      </c>
      <c r="E266" s="9" t="s">
        <v>404</v>
      </c>
      <c r="I266" s="9" t="s">
        <v>334</v>
      </c>
      <c r="J266" s="9" t="s">
        <v>335</v>
      </c>
      <c r="K266" s="9" t="s">
        <v>336</v>
      </c>
      <c r="L266" s="9" t="s">
        <v>338</v>
      </c>
      <c r="O266" s="9" t="s">
        <v>334</v>
      </c>
      <c r="P266" s="9" t="s">
        <v>335</v>
      </c>
      <c r="Q266" s="9" t="s">
        <v>336</v>
      </c>
      <c r="R266" s="9" t="s">
        <v>404</v>
      </c>
      <c r="T266" s="15" t="s">
        <v>380</v>
      </c>
      <c r="U266" s="15" t="s">
        <v>381</v>
      </c>
      <c r="V266" s="15" t="s">
        <v>382</v>
      </c>
      <c r="W266" s="15" t="s">
        <v>405</v>
      </c>
      <c r="X266" s="227"/>
      <c r="Z266" s="47"/>
      <c r="AD266" s="227"/>
      <c r="AF266" s="47"/>
      <c r="AK266" s="228"/>
      <c r="AL266" s="47"/>
    </row>
    <row r="267" spans="2:38" ht="14" customHeight="1" x14ac:dyDescent="0.25">
      <c r="B267" s="9">
        <v>1</v>
      </c>
      <c r="C267" s="9" t="s">
        <v>68</v>
      </c>
      <c r="D267" s="9">
        <v>24.47</v>
      </c>
      <c r="E267" s="9">
        <v>42.87</v>
      </c>
      <c r="I267" s="9">
        <v>1</v>
      </c>
      <c r="J267" s="9" t="s">
        <v>68</v>
      </c>
      <c r="K267" s="9">
        <v>103.2</v>
      </c>
      <c r="L267" s="45">
        <v>0.42899999999999999</v>
      </c>
      <c r="O267" s="9">
        <v>1</v>
      </c>
      <c r="P267" s="9" t="s">
        <v>68</v>
      </c>
      <c r="Q267" s="9">
        <v>16.78</v>
      </c>
      <c r="R267" s="9">
        <v>36.049999999999997</v>
      </c>
      <c r="T267" s="15">
        <v>1</v>
      </c>
      <c r="U267" s="44" t="s">
        <v>98</v>
      </c>
      <c r="V267" s="21">
        <v>7.69</v>
      </c>
      <c r="W267" s="21">
        <v>73.11</v>
      </c>
      <c r="X267" s="227"/>
      <c r="Z267" s="47"/>
      <c r="AD267" s="227"/>
      <c r="AF267" s="47"/>
      <c r="AK267" s="228"/>
      <c r="AL267" s="47"/>
    </row>
    <row r="268" spans="2:38" ht="14" customHeight="1" x14ac:dyDescent="0.25">
      <c r="B268" s="9">
        <v>2</v>
      </c>
      <c r="C268" s="9" t="s">
        <v>69</v>
      </c>
      <c r="D268" s="9">
        <v>12.84</v>
      </c>
      <c r="E268" s="9">
        <v>22.49</v>
      </c>
      <c r="I268" s="9">
        <v>2</v>
      </c>
      <c r="J268" s="9" t="s">
        <v>69</v>
      </c>
      <c r="K268" s="9">
        <v>57.87</v>
      </c>
      <c r="L268" s="45">
        <v>0.24060000000000001</v>
      </c>
      <c r="O268" s="9">
        <v>2</v>
      </c>
      <c r="P268" s="9" t="s">
        <v>69</v>
      </c>
      <c r="Q268" s="9">
        <v>12.84</v>
      </c>
      <c r="R268" s="9">
        <v>27.58</v>
      </c>
      <c r="T268" s="15">
        <v>2</v>
      </c>
      <c r="U268" s="44" t="s">
        <v>100</v>
      </c>
      <c r="V268" s="21">
        <v>1.2</v>
      </c>
      <c r="W268" s="21">
        <v>11.43</v>
      </c>
      <c r="X268" s="227"/>
      <c r="Z268" s="47"/>
      <c r="AD268" s="227"/>
      <c r="AF268" s="47"/>
      <c r="AK268" s="228"/>
      <c r="AL268" s="47"/>
    </row>
    <row r="269" spans="2:38" ht="14" customHeight="1" x14ac:dyDescent="0.25">
      <c r="B269" s="9">
        <v>3</v>
      </c>
      <c r="C269" s="9" t="s">
        <v>71</v>
      </c>
      <c r="D269" s="9">
        <v>4.3</v>
      </c>
      <c r="E269" s="9">
        <v>7.53</v>
      </c>
      <c r="F269" s="9"/>
      <c r="I269" s="9">
        <v>3</v>
      </c>
      <c r="J269" s="9" t="s">
        <v>71</v>
      </c>
      <c r="K269" s="9">
        <v>15.07</v>
      </c>
      <c r="L269" s="45">
        <v>6.2600000000000003E-2</v>
      </c>
      <c r="O269" s="9">
        <v>3</v>
      </c>
      <c r="P269" s="9" t="s">
        <v>71</v>
      </c>
      <c r="Q269" s="9">
        <v>3.1</v>
      </c>
      <c r="R269" s="9">
        <v>6.66</v>
      </c>
      <c r="T269" s="15">
        <v>3</v>
      </c>
      <c r="U269" s="44" t="s">
        <v>172</v>
      </c>
      <c r="V269" s="21">
        <v>0.68</v>
      </c>
      <c r="W269" s="21">
        <v>6.46</v>
      </c>
      <c r="X269" s="227"/>
      <c r="Z269" s="47"/>
      <c r="AD269" s="227"/>
      <c r="AF269" s="47"/>
      <c r="AK269" s="228"/>
      <c r="AL269" s="47"/>
    </row>
    <row r="270" spans="2:38" ht="14" customHeight="1" x14ac:dyDescent="0.25">
      <c r="B270" s="9">
        <v>4</v>
      </c>
      <c r="C270" s="9" t="s">
        <v>70</v>
      </c>
      <c r="D270" s="9">
        <v>3</v>
      </c>
      <c r="E270" s="9">
        <v>5.26</v>
      </c>
      <c r="F270" s="45"/>
      <c r="I270" s="9">
        <v>4</v>
      </c>
      <c r="J270" s="9" t="s">
        <v>70</v>
      </c>
      <c r="K270" s="9">
        <v>12.56</v>
      </c>
      <c r="L270" s="45">
        <v>5.2200000000000003E-2</v>
      </c>
      <c r="O270" s="9">
        <v>4</v>
      </c>
      <c r="P270" s="9" t="s">
        <v>70</v>
      </c>
      <c r="Q270" s="9">
        <v>2.96</v>
      </c>
      <c r="R270" s="9">
        <v>6.36</v>
      </c>
      <c r="T270" s="15">
        <v>4</v>
      </c>
      <c r="U270" s="44" t="s">
        <v>104</v>
      </c>
      <c r="V270" s="21">
        <v>0.6</v>
      </c>
      <c r="W270" s="21">
        <v>5.69</v>
      </c>
      <c r="X270" s="227"/>
      <c r="Z270" s="47"/>
      <c r="AD270" s="227"/>
      <c r="AF270" s="47"/>
      <c r="AK270" s="228"/>
      <c r="AL270" s="47"/>
    </row>
    <row r="271" spans="2:38" ht="14" customHeight="1" x14ac:dyDescent="0.25">
      <c r="B271" s="9">
        <v>5</v>
      </c>
      <c r="C271" s="9" t="s">
        <v>129</v>
      </c>
      <c r="D271" s="9">
        <v>2.2400000000000002</v>
      </c>
      <c r="E271" s="9">
        <v>3.93</v>
      </c>
      <c r="F271" s="45"/>
      <c r="I271" s="9">
        <v>5</v>
      </c>
      <c r="J271" s="9" t="s">
        <v>73</v>
      </c>
      <c r="K271" s="9">
        <v>9.68</v>
      </c>
      <c r="L271" s="45">
        <v>4.02E-2</v>
      </c>
      <c r="O271" s="9">
        <v>5</v>
      </c>
      <c r="P271" s="9" t="s">
        <v>129</v>
      </c>
      <c r="Q271" s="9">
        <v>2.12</v>
      </c>
      <c r="R271" s="9">
        <v>4.5599999999999996</v>
      </c>
      <c r="T271" s="15">
        <v>5</v>
      </c>
      <c r="U271" s="44" t="s">
        <v>181</v>
      </c>
      <c r="V271" s="21">
        <v>0.12</v>
      </c>
      <c r="W271" s="21">
        <v>1.1200000000000001</v>
      </c>
      <c r="X271" s="227"/>
      <c r="Z271" s="47"/>
      <c r="AD271" s="227"/>
      <c r="AF271" s="47"/>
      <c r="AK271" s="228"/>
      <c r="AL271" s="47"/>
    </row>
    <row r="272" spans="2:38" ht="14" customHeight="1" x14ac:dyDescent="0.25">
      <c r="B272" s="9">
        <v>6</v>
      </c>
      <c r="C272" s="9" t="s">
        <v>73</v>
      </c>
      <c r="D272" s="9">
        <v>2.09</v>
      </c>
      <c r="E272" s="9">
        <v>3.66</v>
      </c>
      <c r="F272" s="45"/>
      <c r="I272" s="9">
        <v>6</v>
      </c>
      <c r="J272" s="9" t="s">
        <v>74</v>
      </c>
      <c r="K272" s="9">
        <v>7.2</v>
      </c>
      <c r="L272" s="45">
        <v>2.9899999999999999E-2</v>
      </c>
      <c r="O272" s="9">
        <v>6</v>
      </c>
      <c r="P272" s="9" t="s">
        <v>73</v>
      </c>
      <c r="Q272" s="9">
        <v>2.0299999999999998</v>
      </c>
      <c r="R272" s="9">
        <v>4.3600000000000003</v>
      </c>
      <c r="T272" s="15">
        <v>6</v>
      </c>
      <c r="U272" s="44" t="s">
        <v>185</v>
      </c>
      <c r="V272" s="15">
        <v>0.08</v>
      </c>
      <c r="W272" s="15">
        <v>0.74</v>
      </c>
      <c r="X272" s="227"/>
      <c r="Z272" s="47"/>
      <c r="AD272" s="227"/>
      <c r="AF272" s="47"/>
      <c r="AK272" s="228"/>
      <c r="AL272" s="47"/>
    </row>
    <row r="273" spans="2:38" ht="14" customHeight="1" x14ac:dyDescent="0.25">
      <c r="B273" s="9">
        <v>7</v>
      </c>
      <c r="C273" s="9" t="s">
        <v>323</v>
      </c>
      <c r="D273" s="9">
        <v>1.82</v>
      </c>
      <c r="E273" s="9">
        <v>3.19</v>
      </c>
      <c r="F273" s="45"/>
      <c r="I273" s="9">
        <v>7</v>
      </c>
      <c r="J273" s="9" t="s">
        <v>129</v>
      </c>
      <c r="K273" s="9">
        <v>6.9</v>
      </c>
      <c r="L273" s="45">
        <v>2.87E-2</v>
      </c>
      <c r="O273" s="9">
        <v>7</v>
      </c>
      <c r="P273" s="9" t="s">
        <v>323</v>
      </c>
      <c r="Q273" s="9">
        <v>1.79</v>
      </c>
      <c r="R273" s="9">
        <v>3.85</v>
      </c>
      <c r="T273" s="15">
        <v>7</v>
      </c>
      <c r="U273" s="44" t="s">
        <v>103</v>
      </c>
      <c r="V273" s="15">
        <v>0.06</v>
      </c>
      <c r="W273" s="15">
        <v>0.57999999999999996</v>
      </c>
      <c r="X273" s="227"/>
      <c r="Z273" s="47"/>
      <c r="AD273" s="227"/>
      <c r="AF273" s="47"/>
      <c r="AK273" s="228"/>
      <c r="AL273" s="47"/>
    </row>
    <row r="274" spans="2:38" ht="14" customHeight="1" x14ac:dyDescent="0.25">
      <c r="B274" s="9">
        <v>8</v>
      </c>
      <c r="C274" s="9" t="s">
        <v>322</v>
      </c>
      <c r="D274" s="9">
        <v>1.23</v>
      </c>
      <c r="E274" s="9">
        <v>2.16</v>
      </c>
      <c r="F274" s="45"/>
      <c r="I274" s="9">
        <v>8</v>
      </c>
      <c r="J274" s="9" t="s">
        <v>322</v>
      </c>
      <c r="K274" s="9">
        <v>5.31</v>
      </c>
      <c r="L274" s="45">
        <v>2.2100000000000002E-2</v>
      </c>
      <c r="O274" s="9">
        <v>8</v>
      </c>
      <c r="P274" s="9" t="s">
        <v>322</v>
      </c>
      <c r="Q274" s="9">
        <v>1.23</v>
      </c>
      <c r="R274" s="9">
        <v>2.65</v>
      </c>
      <c r="T274" s="15">
        <v>8</v>
      </c>
      <c r="U274" s="44" t="s">
        <v>101</v>
      </c>
      <c r="V274" s="15">
        <v>0.04</v>
      </c>
      <c r="W274" s="15">
        <v>0.39</v>
      </c>
      <c r="X274" s="227"/>
      <c r="Z274" s="47"/>
      <c r="AD274" s="227"/>
      <c r="AF274" s="47"/>
      <c r="AK274" s="228"/>
      <c r="AL274" s="47"/>
    </row>
    <row r="275" spans="2:38" ht="14" customHeight="1" x14ac:dyDescent="0.25">
      <c r="B275" s="9">
        <v>9</v>
      </c>
      <c r="C275" s="9" t="s">
        <v>74</v>
      </c>
      <c r="D275" s="9">
        <v>1.17</v>
      </c>
      <c r="E275" s="9">
        <v>2.04</v>
      </c>
      <c r="F275" s="45"/>
      <c r="I275" s="9">
        <v>9</v>
      </c>
      <c r="J275" s="9" t="s">
        <v>323</v>
      </c>
      <c r="K275" s="9">
        <v>4.66</v>
      </c>
      <c r="L275" s="45">
        <v>1.9400000000000001E-2</v>
      </c>
      <c r="O275" s="9">
        <v>9</v>
      </c>
      <c r="P275" s="9" t="s">
        <v>397</v>
      </c>
      <c r="Q275" s="9">
        <v>0.88</v>
      </c>
      <c r="R275" s="9">
        <v>1.9</v>
      </c>
      <c r="T275" s="15">
        <v>9</v>
      </c>
      <c r="U275" s="44" t="s">
        <v>370</v>
      </c>
      <c r="V275" s="15">
        <v>0.03</v>
      </c>
      <c r="W275" s="15">
        <v>0.28999999999999998</v>
      </c>
      <c r="X275" s="227"/>
      <c r="Z275" s="47"/>
      <c r="AD275" s="227"/>
      <c r="AF275" s="47"/>
      <c r="AK275" s="228"/>
      <c r="AL275" s="47"/>
    </row>
    <row r="276" spans="2:38" ht="14" customHeight="1" x14ac:dyDescent="0.25">
      <c r="B276" s="9">
        <v>10</v>
      </c>
      <c r="C276" s="9" t="s">
        <v>406</v>
      </c>
      <c r="D276" s="9">
        <v>0.88</v>
      </c>
      <c r="E276" s="9">
        <v>1.55</v>
      </c>
      <c r="F276" s="45"/>
      <c r="I276" s="9">
        <v>10</v>
      </c>
      <c r="J276" s="9" t="s">
        <v>397</v>
      </c>
      <c r="K276" s="9">
        <v>3.55</v>
      </c>
      <c r="L276" s="45">
        <v>1.47E-2</v>
      </c>
      <c r="O276" s="9">
        <v>10</v>
      </c>
      <c r="P276" s="9" t="s">
        <v>74</v>
      </c>
      <c r="Q276" s="9">
        <v>0.56999999999999995</v>
      </c>
      <c r="R276" s="9">
        <v>1.22</v>
      </c>
      <c r="T276" s="15">
        <v>10</v>
      </c>
      <c r="U276" s="44" t="s">
        <v>25</v>
      </c>
      <c r="V276" s="15">
        <v>1.4E-2</v>
      </c>
      <c r="W276" s="15">
        <v>0.13</v>
      </c>
      <c r="X276" s="227"/>
      <c r="Z276" s="47"/>
      <c r="AD276" s="227"/>
      <c r="AF276" s="47"/>
      <c r="AK276" s="228"/>
      <c r="AL276" s="47"/>
    </row>
    <row r="277" spans="2:38" ht="14" customHeight="1" x14ac:dyDescent="0.25">
      <c r="B277" s="9">
        <v>11</v>
      </c>
      <c r="C277" s="9" t="s">
        <v>127</v>
      </c>
      <c r="D277" s="9">
        <v>0.68</v>
      </c>
      <c r="E277" s="9">
        <v>1.19</v>
      </c>
      <c r="F277" s="45"/>
      <c r="I277" s="9">
        <v>11</v>
      </c>
      <c r="J277" s="9" t="s">
        <v>127</v>
      </c>
      <c r="K277" s="9">
        <v>3.24</v>
      </c>
      <c r="L277" s="45">
        <v>1.35E-2</v>
      </c>
      <c r="O277" s="9">
        <v>11</v>
      </c>
      <c r="P277" s="9" t="s">
        <v>326</v>
      </c>
      <c r="Q277" s="9">
        <v>0.44</v>
      </c>
      <c r="R277" s="9">
        <v>0.94</v>
      </c>
      <c r="T277" s="15">
        <v>11</v>
      </c>
      <c r="U277" s="44" t="s">
        <v>355</v>
      </c>
      <c r="V277" s="15">
        <v>4.0000000000000001E-3</v>
      </c>
      <c r="W277" s="15">
        <v>0.03</v>
      </c>
      <c r="X277" s="227"/>
      <c r="Z277" s="47"/>
      <c r="AD277" s="227"/>
      <c r="AF277" s="47"/>
      <c r="AK277" s="228"/>
      <c r="AL277" s="47"/>
    </row>
    <row r="278" spans="2:38" ht="14" customHeight="1" x14ac:dyDescent="0.25">
      <c r="B278" s="9">
        <v>12</v>
      </c>
      <c r="C278" s="9" t="s">
        <v>326</v>
      </c>
      <c r="D278" s="9">
        <v>0.44</v>
      </c>
      <c r="E278" s="9">
        <v>0.77</v>
      </c>
      <c r="F278" s="45"/>
      <c r="I278" s="9">
        <v>12</v>
      </c>
      <c r="J278" s="9" t="s">
        <v>325</v>
      </c>
      <c r="K278" s="9">
        <v>2.2000000000000002</v>
      </c>
      <c r="L278" s="45">
        <v>9.1999999999999998E-3</v>
      </c>
      <c r="O278" s="9">
        <v>12</v>
      </c>
      <c r="P278" s="9" t="s">
        <v>348</v>
      </c>
      <c r="Q278" s="9">
        <v>0.42</v>
      </c>
      <c r="R278" s="9">
        <v>0.91</v>
      </c>
      <c r="T278" s="15">
        <v>12</v>
      </c>
      <c r="U278" s="44" t="s">
        <v>407</v>
      </c>
      <c r="V278" s="15">
        <v>1E-3</v>
      </c>
      <c r="W278" s="15">
        <v>0.01</v>
      </c>
      <c r="X278" s="227"/>
      <c r="Z278" s="47"/>
      <c r="AD278" s="227"/>
      <c r="AF278" s="47"/>
      <c r="AK278" s="228"/>
      <c r="AL278" s="47"/>
    </row>
    <row r="279" spans="2:38" ht="14" customHeight="1" x14ac:dyDescent="0.25">
      <c r="B279" s="9">
        <v>13</v>
      </c>
      <c r="C279" s="9" t="s">
        <v>348</v>
      </c>
      <c r="D279" s="9">
        <v>0.42</v>
      </c>
      <c r="E279" s="9">
        <v>0.74</v>
      </c>
      <c r="F279" s="45"/>
      <c r="I279" s="9">
        <v>13</v>
      </c>
      <c r="J279" s="9" t="s">
        <v>326</v>
      </c>
      <c r="K279" s="9">
        <v>1.95</v>
      </c>
      <c r="L279" s="45">
        <v>8.0999999999999996E-3</v>
      </c>
      <c r="O279" s="9">
        <v>13</v>
      </c>
      <c r="P279" s="9" t="s">
        <v>325</v>
      </c>
      <c r="Q279" s="9">
        <v>0.34</v>
      </c>
      <c r="R279" s="9">
        <v>0.74</v>
      </c>
      <c r="T279" s="15">
        <v>13</v>
      </c>
      <c r="U279" s="44" t="s">
        <v>356</v>
      </c>
      <c r="V279" s="15">
        <v>1E-3</v>
      </c>
      <c r="W279" s="15">
        <v>0.01</v>
      </c>
      <c r="X279" s="227"/>
      <c r="Z279" s="47"/>
      <c r="AD279" s="227"/>
      <c r="AF279" s="47"/>
      <c r="AK279" s="228"/>
      <c r="AL279" s="47"/>
    </row>
    <row r="280" spans="2:38" ht="14" customHeight="1" x14ac:dyDescent="0.25">
      <c r="B280" s="9">
        <v>14</v>
      </c>
      <c r="C280" s="9" t="s">
        <v>325</v>
      </c>
      <c r="D280" s="9">
        <v>0.34</v>
      </c>
      <c r="E280" s="9">
        <v>0.6</v>
      </c>
      <c r="F280" s="45"/>
      <c r="I280" s="9">
        <v>14</v>
      </c>
      <c r="J280" s="9" t="s">
        <v>348</v>
      </c>
      <c r="K280" s="9">
        <v>1.46</v>
      </c>
      <c r="L280" s="45">
        <v>6.1000000000000004E-3</v>
      </c>
      <c r="O280" s="9">
        <v>14</v>
      </c>
      <c r="P280" s="9" t="s">
        <v>343</v>
      </c>
      <c r="Q280" s="9">
        <v>0.24</v>
      </c>
      <c r="R280" s="9">
        <v>0.52</v>
      </c>
      <c r="T280" s="15">
        <v>14</v>
      </c>
      <c r="U280" s="44" t="s">
        <v>99</v>
      </c>
      <c r="V280" s="15">
        <v>1E-3</v>
      </c>
      <c r="W280" s="15">
        <v>0.01</v>
      </c>
      <c r="X280" s="227"/>
      <c r="Z280" s="47"/>
      <c r="AD280" s="227"/>
      <c r="AF280" s="47"/>
      <c r="AK280" s="228"/>
      <c r="AL280" s="47"/>
    </row>
    <row r="281" spans="2:38" ht="14" customHeight="1" x14ac:dyDescent="0.25">
      <c r="B281" s="9">
        <v>15</v>
      </c>
      <c r="C281" s="9" t="s">
        <v>343</v>
      </c>
      <c r="D281" s="9">
        <v>0.24</v>
      </c>
      <c r="E281" s="9">
        <v>0.43</v>
      </c>
      <c r="F281" s="45"/>
      <c r="I281" s="9">
        <v>15</v>
      </c>
      <c r="J281" s="9" t="s">
        <v>343</v>
      </c>
      <c r="K281" s="9">
        <v>1.07</v>
      </c>
      <c r="L281" s="45">
        <v>4.4000000000000003E-3</v>
      </c>
      <c r="O281" s="9">
        <v>15</v>
      </c>
      <c r="P281" s="9" t="s">
        <v>408</v>
      </c>
      <c r="Q281" s="9">
        <v>0.17</v>
      </c>
      <c r="R281" s="9">
        <v>0.36</v>
      </c>
      <c r="T281" s="15">
        <v>15</v>
      </c>
      <c r="U281" s="44" t="s">
        <v>399</v>
      </c>
      <c r="V281" s="15">
        <v>0</v>
      </c>
      <c r="W281" s="15">
        <v>0</v>
      </c>
      <c r="X281" s="227"/>
      <c r="Z281" s="47"/>
      <c r="AD281" s="227"/>
      <c r="AF281" s="47"/>
      <c r="AK281" s="228"/>
      <c r="AL281" s="47"/>
    </row>
    <row r="282" spans="2:38" ht="14" customHeight="1" x14ac:dyDescent="0.25">
      <c r="C282" s="15" t="s">
        <v>130</v>
      </c>
      <c r="D282" s="15">
        <v>57.1</v>
      </c>
      <c r="E282" s="44">
        <v>1</v>
      </c>
      <c r="F282" s="45"/>
      <c r="J282" s="15" t="s">
        <v>130</v>
      </c>
      <c r="K282" s="15">
        <v>241.4</v>
      </c>
      <c r="L282" s="44">
        <v>1</v>
      </c>
      <c r="P282" s="6" t="s">
        <v>130</v>
      </c>
      <c r="Q282" s="15">
        <v>46.1</v>
      </c>
      <c r="R282" s="44">
        <v>1</v>
      </c>
      <c r="U282" s="15" t="s">
        <v>130</v>
      </c>
      <c r="V282" s="15">
        <v>10.5</v>
      </c>
      <c r="W282" s="15">
        <v>1</v>
      </c>
      <c r="X282" s="227"/>
      <c r="Z282" s="47"/>
      <c r="AD282" s="227"/>
      <c r="AF282" s="47"/>
      <c r="AK282" s="228"/>
      <c r="AL282" s="47"/>
    </row>
    <row r="283" spans="2:38" ht="14" customHeight="1" x14ac:dyDescent="0.25">
      <c r="F283" s="45"/>
      <c r="O283" s="25"/>
      <c r="T283" s="25"/>
      <c r="X283" s="227"/>
      <c r="Z283" s="47"/>
      <c r="AD283" s="227"/>
      <c r="AF283" s="47"/>
      <c r="AK283" s="228"/>
      <c r="AL283" s="47"/>
    </row>
    <row r="284" spans="2:38" ht="14" customHeight="1" x14ac:dyDescent="0.25">
      <c r="B284" s="15" t="s">
        <v>409</v>
      </c>
      <c r="F284" s="45"/>
      <c r="I284" s="15" t="s">
        <v>410</v>
      </c>
      <c r="O284" s="25" t="s">
        <v>411</v>
      </c>
      <c r="T284" s="25" t="s">
        <v>412</v>
      </c>
      <c r="W284" s="192"/>
      <c r="X284" s="227"/>
      <c r="Z284" s="47"/>
      <c r="AD284" s="227"/>
      <c r="AF284" s="47"/>
      <c r="AK284" s="228"/>
      <c r="AL284" s="47"/>
    </row>
    <row r="285" spans="2:38" ht="14" customHeight="1" x14ac:dyDescent="0.25">
      <c r="B285" s="15" t="s">
        <v>380</v>
      </c>
      <c r="C285" s="43" t="s">
        <v>381</v>
      </c>
      <c r="D285" s="15" t="s">
        <v>382</v>
      </c>
      <c r="E285" s="15" t="s">
        <v>384</v>
      </c>
      <c r="I285" s="15" t="s">
        <v>380</v>
      </c>
      <c r="J285" s="43" t="s">
        <v>381</v>
      </c>
      <c r="K285" s="15" t="s">
        <v>382</v>
      </c>
      <c r="L285" s="15" t="s">
        <v>383</v>
      </c>
      <c r="O285" s="6" t="s">
        <v>380</v>
      </c>
      <c r="P285" s="25" t="s">
        <v>381</v>
      </c>
      <c r="Q285" s="6" t="s">
        <v>382</v>
      </c>
      <c r="R285" s="192" t="s">
        <v>405</v>
      </c>
      <c r="T285" s="15" t="s">
        <v>380</v>
      </c>
      <c r="U285" s="15" t="s">
        <v>381</v>
      </c>
      <c r="V285" s="15" t="s">
        <v>382</v>
      </c>
      <c r="W285" s="48" t="s">
        <v>405</v>
      </c>
      <c r="X285" s="227"/>
      <c r="Z285" s="47"/>
      <c r="AD285" s="227"/>
      <c r="AF285" s="47"/>
      <c r="AK285" s="228"/>
      <c r="AL285" s="47"/>
    </row>
    <row r="286" spans="2:38" ht="14" customHeight="1" x14ac:dyDescent="0.25">
      <c r="B286" s="15">
        <v>1</v>
      </c>
      <c r="C286" s="43" t="s">
        <v>98</v>
      </c>
      <c r="D286" s="15">
        <v>21.2</v>
      </c>
      <c r="E286" s="16">
        <v>0.39439999999999997</v>
      </c>
      <c r="I286" s="15">
        <v>1</v>
      </c>
      <c r="J286" s="43" t="s">
        <v>98</v>
      </c>
      <c r="K286" s="15">
        <v>78.73</v>
      </c>
      <c r="L286" s="16">
        <v>0.42899999999999999</v>
      </c>
      <c r="O286" s="6">
        <v>1</v>
      </c>
      <c r="P286" s="15" t="s">
        <v>98</v>
      </c>
      <c r="Q286" s="48">
        <v>14.76</v>
      </c>
      <c r="R286" s="48">
        <v>32.94</v>
      </c>
      <c r="T286" s="15">
        <v>1</v>
      </c>
      <c r="U286" s="44" t="s">
        <v>98</v>
      </c>
      <c r="V286" s="21">
        <v>6.45</v>
      </c>
      <c r="W286" s="49">
        <v>72.06</v>
      </c>
      <c r="X286" s="227"/>
      <c r="Z286" s="47"/>
      <c r="AD286" s="227"/>
      <c r="AF286" s="47"/>
      <c r="AK286" s="228"/>
      <c r="AL286" s="47"/>
    </row>
    <row r="287" spans="2:38" ht="14" customHeight="1" x14ac:dyDescent="0.25">
      <c r="B287" s="15">
        <v>2</v>
      </c>
      <c r="C287" s="43" t="s">
        <v>99</v>
      </c>
      <c r="D287" s="15">
        <v>14.17</v>
      </c>
      <c r="E287" s="16">
        <v>0.26350000000000001</v>
      </c>
      <c r="I287" s="15">
        <v>2</v>
      </c>
      <c r="J287" s="43" t="s">
        <v>99</v>
      </c>
      <c r="K287" s="15">
        <v>45.04</v>
      </c>
      <c r="L287" s="16">
        <v>0.24540000000000001</v>
      </c>
      <c r="O287" s="6">
        <v>2</v>
      </c>
      <c r="P287" s="15" t="s">
        <v>99</v>
      </c>
      <c r="Q287" s="48">
        <v>14.17</v>
      </c>
      <c r="R287" s="49">
        <v>31.62</v>
      </c>
      <c r="T287" s="15">
        <v>2</v>
      </c>
      <c r="U287" s="44" t="s">
        <v>100</v>
      </c>
      <c r="V287" s="21">
        <v>1.06</v>
      </c>
      <c r="W287" s="49">
        <v>11.9</v>
      </c>
      <c r="X287" s="227"/>
      <c r="Z287" s="47"/>
      <c r="AD287" s="227"/>
      <c r="AF287" s="47"/>
      <c r="AK287" s="47"/>
      <c r="AL287" s="228"/>
    </row>
    <row r="288" spans="2:38" ht="14" customHeight="1" x14ac:dyDescent="0.25">
      <c r="B288" s="15">
        <v>3</v>
      </c>
      <c r="C288" s="43" t="s">
        <v>100</v>
      </c>
      <c r="D288" s="15">
        <v>3.78</v>
      </c>
      <c r="E288" s="16">
        <v>7.0199999999999999E-2</v>
      </c>
      <c r="I288" s="15">
        <v>3</v>
      </c>
      <c r="J288" s="43" t="s">
        <v>100</v>
      </c>
      <c r="K288" s="15">
        <v>10.77</v>
      </c>
      <c r="L288" s="16">
        <v>5.8700000000000002E-2</v>
      </c>
      <c r="O288" s="6">
        <v>3</v>
      </c>
      <c r="P288" s="15" t="s">
        <v>101</v>
      </c>
      <c r="Q288" s="48">
        <v>3.1</v>
      </c>
      <c r="R288" s="49">
        <v>6.91</v>
      </c>
      <c r="T288" s="15">
        <v>3</v>
      </c>
      <c r="U288" s="44" t="s">
        <v>172</v>
      </c>
      <c r="V288" s="21">
        <v>0.59</v>
      </c>
      <c r="W288" s="49">
        <v>6.64</v>
      </c>
      <c r="X288" s="227"/>
      <c r="Z288" s="47"/>
      <c r="AD288" s="227"/>
      <c r="AF288" s="47"/>
    </row>
    <row r="289" spans="2:32" ht="14" customHeight="1" x14ac:dyDescent="0.25">
      <c r="B289" s="15">
        <v>4</v>
      </c>
      <c r="C289" s="43" t="s">
        <v>101</v>
      </c>
      <c r="D289" s="15">
        <v>3.14</v>
      </c>
      <c r="E289" s="16">
        <v>5.8500000000000003E-2</v>
      </c>
      <c r="I289" s="15">
        <v>4</v>
      </c>
      <c r="J289" s="43" t="s">
        <v>101</v>
      </c>
      <c r="K289" s="15">
        <v>9.56</v>
      </c>
      <c r="L289" s="16">
        <v>5.21E-2</v>
      </c>
      <c r="O289" s="6">
        <v>4</v>
      </c>
      <c r="P289" s="15" t="s">
        <v>100</v>
      </c>
      <c r="Q289" s="48">
        <v>2.71</v>
      </c>
      <c r="R289" s="49">
        <v>6.05</v>
      </c>
      <c r="T289" s="15">
        <v>4</v>
      </c>
      <c r="U289" s="44" t="s">
        <v>104</v>
      </c>
      <c r="V289" s="21">
        <v>0.49</v>
      </c>
      <c r="W289" s="49">
        <v>5.44</v>
      </c>
      <c r="X289" s="227"/>
      <c r="Z289" s="47"/>
      <c r="AD289" s="227"/>
      <c r="AF289" s="47"/>
    </row>
    <row r="290" spans="2:32" ht="14" customHeight="1" x14ac:dyDescent="0.25">
      <c r="B290" s="15">
        <v>5</v>
      </c>
      <c r="C290" s="43" t="s">
        <v>103</v>
      </c>
      <c r="D290" s="15">
        <v>1.99</v>
      </c>
      <c r="E290" s="16">
        <v>3.6999999999999998E-2</v>
      </c>
      <c r="I290" s="15">
        <v>5</v>
      </c>
      <c r="J290" s="43" t="s">
        <v>103</v>
      </c>
      <c r="K290" s="15">
        <v>7.59</v>
      </c>
      <c r="L290" s="16">
        <v>4.1399999999999999E-2</v>
      </c>
      <c r="O290" s="6">
        <v>5</v>
      </c>
      <c r="P290" s="15" t="s">
        <v>103</v>
      </c>
      <c r="Q290" s="48">
        <v>1.95</v>
      </c>
      <c r="R290" s="49">
        <v>4.3499999999999996</v>
      </c>
      <c r="T290" s="15">
        <v>5</v>
      </c>
      <c r="U290" s="44" t="s">
        <v>181</v>
      </c>
      <c r="V290" s="21">
        <v>0.19</v>
      </c>
      <c r="W290" s="49">
        <v>2.15</v>
      </c>
      <c r="X290" s="227"/>
      <c r="Z290" s="47"/>
      <c r="AD290" s="227"/>
      <c r="AF290" s="47"/>
    </row>
    <row r="291" spans="2:32" ht="14" customHeight="1" x14ac:dyDescent="0.25">
      <c r="B291" s="15">
        <v>6</v>
      </c>
      <c r="C291" s="43" t="s">
        <v>181</v>
      </c>
      <c r="D291" s="15">
        <v>1.68</v>
      </c>
      <c r="E291" s="16">
        <v>3.1199999999999999E-2</v>
      </c>
      <c r="I291" s="15">
        <v>6</v>
      </c>
      <c r="J291" s="43" t="s">
        <v>104</v>
      </c>
      <c r="K291" s="15">
        <v>6.04</v>
      </c>
      <c r="L291" s="16">
        <v>3.2899999999999999E-2</v>
      </c>
      <c r="O291" s="6">
        <v>6</v>
      </c>
      <c r="P291" s="15" t="s">
        <v>181</v>
      </c>
      <c r="Q291" s="48">
        <v>1.48</v>
      </c>
      <c r="R291" s="49">
        <v>3.31</v>
      </c>
      <c r="T291" s="15">
        <v>6</v>
      </c>
      <c r="U291" s="44" t="s">
        <v>101</v>
      </c>
      <c r="V291" s="15">
        <v>0.05</v>
      </c>
      <c r="W291" s="48">
        <v>0.55000000000000004</v>
      </c>
      <c r="X291" s="227"/>
      <c r="Z291" s="47"/>
      <c r="AD291" s="227"/>
      <c r="AF291" s="47"/>
    </row>
    <row r="292" spans="2:32" ht="14" customHeight="1" x14ac:dyDescent="0.25">
      <c r="B292" s="15">
        <v>7</v>
      </c>
      <c r="C292" s="43" t="s">
        <v>369</v>
      </c>
      <c r="D292" s="15">
        <v>1.47</v>
      </c>
      <c r="E292" s="16">
        <v>2.7300000000000001E-2</v>
      </c>
      <c r="I292" s="15">
        <v>7</v>
      </c>
      <c r="J292" s="43" t="s">
        <v>181</v>
      </c>
      <c r="K292" s="15">
        <v>4.66</v>
      </c>
      <c r="L292" s="16">
        <v>2.5399999999999999E-2</v>
      </c>
      <c r="O292" s="6">
        <v>7</v>
      </c>
      <c r="P292" s="15" t="s">
        <v>369</v>
      </c>
      <c r="Q292" s="48">
        <v>1.47</v>
      </c>
      <c r="R292" s="48">
        <v>3.28</v>
      </c>
      <c r="T292" s="15">
        <v>7</v>
      </c>
      <c r="U292" s="44" t="s">
        <v>103</v>
      </c>
      <c r="V292" s="15">
        <v>0.04</v>
      </c>
      <c r="W292" s="48">
        <v>0.44</v>
      </c>
      <c r="X292" s="227"/>
      <c r="Z292" s="47"/>
      <c r="AD292" s="227"/>
      <c r="AF292" s="47"/>
    </row>
    <row r="293" spans="2:32" ht="14" customHeight="1" x14ac:dyDescent="0.25">
      <c r="B293" s="15">
        <v>8</v>
      </c>
      <c r="C293" s="43" t="s">
        <v>370</v>
      </c>
      <c r="D293" s="15">
        <v>1.24</v>
      </c>
      <c r="E293" s="16">
        <v>2.3E-2</v>
      </c>
      <c r="I293" s="15">
        <v>8</v>
      </c>
      <c r="J293" s="43" t="s">
        <v>369</v>
      </c>
      <c r="K293" s="15">
        <v>4.08</v>
      </c>
      <c r="L293" s="16">
        <v>2.23E-2</v>
      </c>
      <c r="O293" s="6">
        <v>8</v>
      </c>
      <c r="P293" s="15" t="s">
        <v>370</v>
      </c>
      <c r="Q293" s="48">
        <v>1.21</v>
      </c>
      <c r="R293" s="48">
        <v>2.69</v>
      </c>
      <c r="T293" s="15">
        <v>8</v>
      </c>
      <c r="U293" s="44" t="s">
        <v>185</v>
      </c>
      <c r="V293" s="15">
        <v>0.03</v>
      </c>
      <c r="W293" s="48">
        <v>0.36</v>
      </c>
      <c r="X293" s="227"/>
      <c r="Z293" s="47"/>
      <c r="AD293" s="227"/>
      <c r="AF293" s="47"/>
    </row>
    <row r="294" spans="2:32" ht="14" customHeight="1" x14ac:dyDescent="0.25">
      <c r="B294" s="15">
        <v>9</v>
      </c>
      <c r="C294" s="43" t="s">
        <v>104</v>
      </c>
      <c r="D294" s="15">
        <v>1.19</v>
      </c>
      <c r="E294" s="16">
        <v>2.2100000000000002E-2</v>
      </c>
      <c r="I294" s="15">
        <v>9</v>
      </c>
      <c r="J294" s="43" t="s">
        <v>370</v>
      </c>
      <c r="K294" s="15">
        <v>2.84</v>
      </c>
      <c r="L294" s="16">
        <v>1.55E-2</v>
      </c>
      <c r="O294" s="6">
        <v>9</v>
      </c>
      <c r="P294" s="15" t="s">
        <v>398</v>
      </c>
      <c r="Q294" s="48">
        <v>0.78</v>
      </c>
      <c r="R294" s="48">
        <v>1.73</v>
      </c>
      <c r="T294" s="15">
        <v>9</v>
      </c>
      <c r="U294" s="44" t="s">
        <v>370</v>
      </c>
      <c r="V294" s="15">
        <v>0.03</v>
      </c>
      <c r="W294" s="48">
        <v>0.34</v>
      </c>
      <c r="X294" s="227"/>
      <c r="Z294" s="47"/>
      <c r="AD294" s="227"/>
      <c r="AF294" s="47"/>
    </row>
    <row r="295" spans="2:32" ht="14" customHeight="1" x14ac:dyDescent="0.25">
      <c r="B295" s="15">
        <v>10</v>
      </c>
      <c r="C295" s="43" t="s">
        <v>398</v>
      </c>
      <c r="D295" s="15">
        <v>0.78</v>
      </c>
      <c r="E295" s="16">
        <v>1.44E-2</v>
      </c>
      <c r="I295" s="15">
        <v>10</v>
      </c>
      <c r="J295" s="43" t="s">
        <v>398</v>
      </c>
      <c r="K295" s="15">
        <v>2.66</v>
      </c>
      <c r="L295" s="16">
        <v>1.4500000000000001E-2</v>
      </c>
      <c r="O295" s="6">
        <v>10</v>
      </c>
      <c r="P295" s="15" t="s">
        <v>104</v>
      </c>
      <c r="Q295" s="48">
        <v>0.7</v>
      </c>
      <c r="R295" s="48">
        <v>1.56</v>
      </c>
      <c r="T295" s="15">
        <v>10</v>
      </c>
      <c r="U295" s="44" t="s">
        <v>355</v>
      </c>
      <c r="V295" s="15">
        <v>5.0000000000000001E-3</v>
      </c>
      <c r="W295" s="48">
        <v>0.05</v>
      </c>
      <c r="X295" s="227"/>
      <c r="Z295" s="47"/>
      <c r="AD295" s="227"/>
      <c r="AF295" s="47"/>
    </row>
    <row r="296" spans="2:32" ht="14" customHeight="1" x14ac:dyDescent="0.25">
      <c r="B296" s="15">
        <v>11</v>
      </c>
      <c r="C296" s="43" t="s">
        <v>172</v>
      </c>
      <c r="D296" s="15">
        <v>0.59</v>
      </c>
      <c r="E296" s="16">
        <v>1.11E-2</v>
      </c>
      <c r="I296" s="15">
        <v>11</v>
      </c>
      <c r="J296" s="43" t="s">
        <v>172</v>
      </c>
      <c r="K296" s="15">
        <v>2.56</v>
      </c>
      <c r="L296" s="16">
        <v>1.3899999999999999E-2</v>
      </c>
      <c r="O296" s="6">
        <v>11</v>
      </c>
      <c r="P296" s="15" t="s">
        <v>329</v>
      </c>
      <c r="Q296" s="48">
        <v>0.46</v>
      </c>
      <c r="R296" s="48">
        <v>1.02</v>
      </c>
      <c r="T296" s="15">
        <v>11</v>
      </c>
      <c r="U296" s="44" t="s">
        <v>99</v>
      </c>
      <c r="V296" s="15">
        <v>2E-3</v>
      </c>
      <c r="W296" s="48">
        <v>0.02</v>
      </c>
      <c r="X296" s="227"/>
      <c r="Z296" s="47"/>
      <c r="AD296" s="227"/>
      <c r="AF296" s="47"/>
    </row>
    <row r="297" spans="2:32" ht="14" customHeight="1" x14ac:dyDescent="0.25">
      <c r="B297" s="15">
        <v>12</v>
      </c>
      <c r="C297" s="43" t="s">
        <v>329</v>
      </c>
      <c r="D297" s="15">
        <v>0.46</v>
      </c>
      <c r="E297" s="16">
        <v>8.5000000000000006E-3</v>
      </c>
      <c r="I297" s="15">
        <v>12</v>
      </c>
      <c r="J297" s="43" t="s">
        <v>328</v>
      </c>
      <c r="K297" s="15">
        <v>1.86</v>
      </c>
      <c r="L297" s="16">
        <v>1.01E-2</v>
      </c>
      <c r="O297" s="6">
        <v>12</v>
      </c>
      <c r="P297" s="15" t="s">
        <v>328</v>
      </c>
      <c r="Q297" s="48">
        <v>0.43</v>
      </c>
      <c r="R297" s="48">
        <v>0.97</v>
      </c>
      <c r="T297" s="15">
        <v>12</v>
      </c>
      <c r="U297" s="44" t="s">
        <v>407</v>
      </c>
      <c r="V297" s="15">
        <v>2E-3</v>
      </c>
      <c r="W297" s="48">
        <v>0.02</v>
      </c>
      <c r="X297" s="227"/>
      <c r="Z297" s="47"/>
      <c r="AD297" s="227"/>
      <c r="AF297" s="47"/>
    </row>
    <row r="298" spans="2:32" ht="14" customHeight="1" x14ac:dyDescent="0.25">
      <c r="B298" s="15">
        <v>13</v>
      </c>
      <c r="C298" s="43" t="s">
        <v>328</v>
      </c>
      <c r="D298" s="15">
        <v>0.43</v>
      </c>
      <c r="E298" s="16">
        <v>8.0999999999999996E-3</v>
      </c>
      <c r="I298" s="15">
        <v>13</v>
      </c>
      <c r="J298" s="43" t="s">
        <v>329</v>
      </c>
      <c r="K298" s="15">
        <v>1.52</v>
      </c>
      <c r="L298" s="16">
        <v>8.3000000000000001E-3</v>
      </c>
      <c r="O298" s="6">
        <v>13</v>
      </c>
      <c r="P298" s="15" t="s">
        <v>349</v>
      </c>
      <c r="Q298" s="48">
        <v>0.33</v>
      </c>
      <c r="R298" s="48">
        <v>0.74</v>
      </c>
      <c r="T298" s="15">
        <v>13</v>
      </c>
      <c r="U298" s="44" t="s">
        <v>356</v>
      </c>
      <c r="V298" s="15">
        <v>1E-3</v>
      </c>
      <c r="W298" s="48">
        <v>0.01</v>
      </c>
      <c r="X298" s="227"/>
      <c r="Z298" s="47"/>
      <c r="AD298" s="227"/>
      <c r="AF298" s="47"/>
    </row>
    <row r="299" spans="2:32" ht="14" customHeight="1" x14ac:dyDescent="0.25">
      <c r="B299" s="15">
        <v>14</v>
      </c>
      <c r="C299" s="43" t="s">
        <v>349</v>
      </c>
      <c r="D299" s="15">
        <v>0.33</v>
      </c>
      <c r="E299" s="16">
        <v>6.1999999999999998E-3</v>
      </c>
      <c r="I299" s="15">
        <v>14</v>
      </c>
      <c r="J299" s="43" t="s">
        <v>349</v>
      </c>
      <c r="K299" s="15">
        <v>1.03</v>
      </c>
      <c r="L299" s="16">
        <v>5.5999999999999999E-3</v>
      </c>
      <c r="O299" s="6">
        <v>14</v>
      </c>
      <c r="P299" s="15" t="s">
        <v>358</v>
      </c>
      <c r="Q299" s="48">
        <v>0.28000000000000003</v>
      </c>
      <c r="R299" s="48">
        <v>0.63</v>
      </c>
      <c r="T299" s="15">
        <v>14</v>
      </c>
      <c r="U299" s="44" t="s">
        <v>25</v>
      </c>
      <c r="V299" s="15">
        <v>0</v>
      </c>
      <c r="W299" s="48">
        <v>0</v>
      </c>
      <c r="X299" s="227"/>
      <c r="Z299" s="47"/>
      <c r="AD299" s="227"/>
      <c r="AF299" s="47"/>
    </row>
    <row r="300" spans="2:32" ht="14" customHeight="1" x14ac:dyDescent="0.25">
      <c r="B300" s="15">
        <v>15</v>
      </c>
      <c r="C300" s="43" t="s">
        <v>358</v>
      </c>
      <c r="D300" s="15">
        <v>0.28000000000000003</v>
      </c>
      <c r="E300" s="16">
        <v>5.3E-3</v>
      </c>
      <c r="I300" s="15">
        <v>15</v>
      </c>
      <c r="J300" s="43" t="s">
        <v>358</v>
      </c>
      <c r="K300" s="15">
        <v>0.82</v>
      </c>
      <c r="L300" s="16">
        <v>4.4999999999999997E-3</v>
      </c>
      <c r="O300" s="6">
        <v>15</v>
      </c>
      <c r="P300" s="15" t="s">
        <v>413</v>
      </c>
      <c r="Q300" s="48">
        <v>0.21</v>
      </c>
      <c r="R300" s="48">
        <v>0.46</v>
      </c>
      <c r="T300" s="15">
        <v>15</v>
      </c>
      <c r="U300" s="44" t="s">
        <v>392</v>
      </c>
      <c r="V300" s="15">
        <v>0</v>
      </c>
      <c r="W300" s="48">
        <v>0</v>
      </c>
      <c r="X300" s="227"/>
      <c r="Z300" s="47"/>
      <c r="AD300" s="227"/>
      <c r="AF300" s="47"/>
    </row>
    <row r="301" spans="2:32" ht="14" customHeight="1" x14ac:dyDescent="0.25">
      <c r="C301" s="15" t="s">
        <v>130</v>
      </c>
      <c r="D301" s="15">
        <v>118.2</v>
      </c>
      <c r="E301" s="43">
        <v>1</v>
      </c>
      <c r="J301" s="15" t="s">
        <v>130</v>
      </c>
      <c r="K301" s="15">
        <v>184.3</v>
      </c>
      <c r="L301" s="43">
        <v>1</v>
      </c>
      <c r="P301" s="6" t="s">
        <v>130</v>
      </c>
      <c r="Q301" s="15">
        <v>94.6</v>
      </c>
      <c r="R301" s="48">
        <v>1</v>
      </c>
      <c r="U301" s="15" t="s">
        <v>130</v>
      </c>
      <c r="V301" s="15">
        <v>23.5</v>
      </c>
      <c r="W301" s="48">
        <v>1</v>
      </c>
      <c r="X301" s="227"/>
      <c r="Z301" s="47"/>
      <c r="AD301" s="227"/>
      <c r="AF301" s="47"/>
    </row>
    <row r="302" spans="2:32" ht="14" customHeight="1" x14ac:dyDescent="0.25">
      <c r="D302" s="43"/>
      <c r="J302" s="43"/>
      <c r="O302" s="227"/>
      <c r="X302" s="227"/>
      <c r="Z302" s="47"/>
      <c r="AD302" s="227"/>
      <c r="AF302" s="47"/>
    </row>
    <row r="303" spans="2:32" ht="14" customHeight="1" x14ac:dyDescent="0.25">
      <c r="B303" s="15" t="s">
        <v>414</v>
      </c>
      <c r="D303" s="43"/>
      <c r="I303" s="15" t="s">
        <v>415</v>
      </c>
      <c r="J303" s="43"/>
      <c r="O303" s="25" t="s">
        <v>416</v>
      </c>
      <c r="T303" s="25" t="s">
        <v>417</v>
      </c>
      <c r="X303" s="227"/>
      <c r="AC303" s="227"/>
    </row>
    <row r="304" spans="2:32" ht="14" customHeight="1" x14ac:dyDescent="0.25">
      <c r="B304" s="15" t="s">
        <v>380</v>
      </c>
      <c r="C304" s="21" t="s">
        <v>335</v>
      </c>
      <c r="D304" s="50" t="s">
        <v>336</v>
      </c>
      <c r="E304" s="16" t="s">
        <v>384</v>
      </c>
      <c r="F304" s="21"/>
      <c r="G304" s="51"/>
      <c r="I304" s="15" t="s">
        <v>380</v>
      </c>
      <c r="J304" s="21" t="s">
        <v>335</v>
      </c>
      <c r="K304" s="50" t="s">
        <v>336</v>
      </c>
      <c r="L304" s="16" t="s">
        <v>384</v>
      </c>
      <c r="M304" s="52"/>
      <c r="O304" s="15" t="s">
        <v>380</v>
      </c>
      <c r="P304" s="15" t="s">
        <v>381</v>
      </c>
      <c r="Q304" s="15" t="s">
        <v>382</v>
      </c>
      <c r="R304" s="15" t="s">
        <v>384</v>
      </c>
      <c r="S304" s="21"/>
      <c r="T304" s="15" t="s">
        <v>380</v>
      </c>
      <c r="U304" s="15" t="s">
        <v>381</v>
      </c>
      <c r="V304" s="15" t="s">
        <v>382</v>
      </c>
      <c r="W304" s="15" t="s">
        <v>384</v>
      </c>
      <c r="X304" s="21"/>
      <c r="AC304" s="50"/>
      <c r="AD304" s="16"/>
      <c r="AE304" s="21"/>
      <c r="AF304" s="21"/>
    </row>
    <row r="305" spans="2:32" ht="14" customHeight="1" x14ac:dyDescent="0.25">
      <c r="B305" s="21">
        <v>1</v>
      </c>
      <c r="C305" s="21" t="s">
        <v>68</v>
      </c>
      <c r="D305" s="9">
        <v>23.84</v>
      </c>
      <c r="E305" s="16">
        <v>0.42380000000000001</v>
      </c>
      <c r="F305" s="16"/>
      <c r="G305" s="17"/>
      <c r="I305" s="21">
        <v>1</v>
      </c>
      <c r="J305" s="21" t="s">
        <v>68</v>
      </c>
      <c r="K305" s="9">
        <v>57.53</v>
      </c>
      <c r="L305" s="16">
        <v>0.44340000000000002</v>
      </c>
      <c r="M305" s="21"/>
      <c r="O305" s="15">
        <v>1</v>
      </c>
      <c r="P305" s="15" t="s">
        <v>98</v>
      </c>
      <c r="Q305" s="15">
        <v>17.649999999999999</v>
      </c>
      <c r="R305" s="53">
        <v>0.379</v>
      </c>
      <c r="T305" s="15">
        <v>1</v>
      </c>
      <c r="U305" s="15" t="s">
        <v>98</v>
      </c>
      <c r="V305" s="15">
        <v>6.2</v>
      </c>
      <c r="W305" s="54">
        <v>0.63949999999999996</v>
      </c>
      <c r="AC305" s="9"/>
      <c r="AD305" s="16"/>
      <c r="AE305" s="16"/>
      <c r="AF305" s="219"/>
    </row>
    <row r="306" spans="2:32" ht="14" customHeight="1" x14ac:dyDescent="0.25">
      <c r="B306" s="21">
        <v>2</v>
      </c>
      <c r="C306" s="21" t="s">
        <v>69</v>
      </c>
      <c r="D306" s="50">
        <v>13.79</v>
      </c>
      <c r="E306" s="16">
        <v>0.23619999999999999</v>
      </c>
      <c r="F306" s="16"/>
      <c r="G306" s="17"/>
      <c r="I306" s="21">
        <v>2</v>
      </c>
      <c r="J306" s="21" t="s">
        <v>69</v>
      </c>
      <c r="K306" s="50">
        <v>30.87</v>
      </c>
      <c r="L306" s="16">
        <v>0.2379</v>
      </c>
      <c r="M306" s="55"/>
      <c r="O306" s="21">
        <v>2</v>
      </c>
      <c r="P306" s="21" t="s">
        <v>69</v>
      </c>
      <c r="Q306" s="50">
        <v>13.79</v>
      </c>
      <c r="R306" s="56">
        <v>0.29620000000000002</v>
      </c>
      <c r="T306" s="21">
        <v>2</v>
      </c>
      <c r="U306" s="56" t="s">
        <v>172</v>
      </c>
      <c r="V306" s="21">
        <v>1.43</v>
      </c>
      <c r="W306" s="54">
        <v>0.1477</v>
      </c>
      <c r="AC306" s="50"/>
      <c r="AD306" s="16"/>
      <c r="AE306" s="16"/>
      <c r="AF306" s="219"/>
    </row>
    <row r="307" spans="2:32" ht="14" customHeight="1" x14ac:dyDescent="0.25">
      <c r="B307" s="21">
        <v>3</v>
      </c>
      <c r="C307" s="21" t="s">
        <v>71</v>
      </c>
      <c r="D307" s="50">
        <v>2.9</v>
      </c>
      <c r="E307" s="16">
        <v>5.16E-2</v>
      </c>
      <c r="F307" s="16"/>
      <c r="G307" s="17"/>
      <c r="I307" s="21">
        <v>3</v>
      </c>
      <c r="J307" s="21" t="s">
        <v>71</v>
      </c>
      <c r="K307" s="50">
        <v>6.99</v>
      </c>
      <c r="L307" s="16">
        <v>5.3900000000000003E-2</v>
      </c>
      <c r="M307" s="55"/>
      <c r="O307" s="21">
        <v>3</v>
      </c>
      <c r="P307" s="57" t="s">
        <v>70</v>
      </c>
      <c r="Q307" s="58">
        <v>2.64</v>
      </c>
      <c r="R307" s="53">
        <v>5.6800000000000003E-2</v>
      </c>
      <c r="T307" s="21">
        <v>3</v>
      </c>
      <c r="U307" s="56" t="s">
        <v>100</v>
      </c>
      <c r="V307" s="21">
        <v>0.75</v>
      </c>
      <c r="W307" s="54">
        <v>7.7799999999999994E-2</v>
      </c>
      <c r="AC307" s="50"/>
      <c r="AD307" s="16"/>
      <c r="AE307" s="16"/>
      <c r="AF307" s="219"/>
    </row>
    <row r="308" spans="2:32" ht="14" customHeight="1" x14ac:dyDescent="0.25">
      <c r="B308" s="21">
        <v>4</v>
      </c>
      <c r="C308" s="21" t="s">
        <v>70</v>
      </c>
      <c r="D308" s="50">
        <v>2.71</v>
      </c>
      <c r="E308" s="16">
        <v>4.8099999999999997E-2</v>
      </c>
      <c r="F308" s="16"/>
      <c r="G308" s="17"/>
      <c r="I308" s="21">
        <v>4</v>
      </c>
      <c r="J308" s="21" t="s">
        <v>70</v>
      </c>
      <c r="K308" s="50">
        <v>6.42</v>
      </c>
      <c r="L308" s="16">
        <v>4.9500000000000002E-2</v>
      </c>
      <c r="M308" s="55"/>
      <c r="O308" s="21">
        <v>4</v>
      </c>
      <c r="P308" s="57" t="s">
        <v>73</v>
      </c>
      <c r="Q308" s="59">
        <v>2.25</v>
      </c>
      <c r="R308" s="53">
        <v>4.8399999999999999E-2</v>
      </c>
      <c r="T308" s="21">
        <v>4</v>
      </c>
      <c r="U308" s="56" t="s">
        <v>104</v>
      </c>
      <c r="V308" s="21">
        <v>0.57999999999999996</v>
      </c>
      <c r="W308" s="54">
        <v>6.0299999999999999E-2</v>
      </c>
      <c r="AC308" s="50"/>
      <c r="AD308" s="16"/>
      <c r="AE308" s="16"/>
      <c r="AF308" s="219"/>
    </row>
    <row r="309" spans="2:32" ht="14" customHeight="1" x14ac:dyDescent="0.25">
      <c r="B309" s="21">
        <v>5</v>
      </c>
      <c r="C309" s="21" t="s">
        <v>73</v>
      </c>
      <c r="D309" s="50">
        <v>2.34</v>
      </c>
      <c r="E309" s="16">
        <v>4.1599999999999998E-2</v>
      </c>
      <c r="F309" s="16"/>
      <c r="G309" s="17"/>
      <c r="I309" s="21">
        <v>5</v>
      </c>
      <c r="J309" s="21" t="s">
        <v>73</v>
      </c>
      <c r="K309" s="50">
        <v>5.6</v>
      </c>
      <c r="L309" s="16">
        <v>4.3200000000000002E-2</v>
      </c>
      <c r="M309" s="55"/>
      <c r="O309" s="21">
        <v>5</v>
      </c>
      <c r="P309" s="57" t="s">
        <v>71</v>
      </c>
      <c r="Q309" s="58">
        <v>2.14</v>
      </c>
      <c r="R309" s="53">
        <v>4.6100000000000002E-2</v>
      </c>
      <c r="T309" s="21">
        <v>5</v>
      </c>
      <c r="U309" s="21" t="s">
        <v>129</v>
      </c>
      <c r="V309" s="21">
        <v>0.33</v>
      </c>
      <c r="W309" s="54">
        <v>3.4000000000000002E-2</v>
      </c>
      <c r="AC309" s="50"/>
      <c r="AD309" s="16"/>
      <c r="AE309" s="16"/>
      <c r="AF309" s="219"/>
    </row>
    <row r="310" spans="2:32" ht="14" customHeight="1" x14ac:dyDescent="0.25">
      <c r="B310" s="21">
        <v>6</v>
      </c>
      <c r="C310" s="21" t="s">
        <v>74</v>
      </c>
      <c r="D310" s="50">
        <v>1.85</v>
      </c>
      <c r="E310" s="16">
        <v>3.2800000000000003E-2</v>
      </c>
      <c r="F310" s="16"/>
      <c r="G310" s="17"/>
      <c r="I310" s="21">
        <v>6</v>
      </c>
      <c r="J310" s="21" t="s">
        <v>74</v>
      </c>
      <c r="K310" s="50">
        <v>4.8499999999999996</v>
      </c>
      <c r="L310" s="16">
        <v>3.7400000000000003E-2</v>
      </c>
      <c r="M310" s="55"/>
      <c r="O310" s="21">
        <v>6</v>
      </c>
      <c r="P310" s="57" t="s">
        <v>129</v>
      </c>
      <c r="Q310" s="59">
        <v>1.31</v>
      </c>
      <c r="R310" s="53">
        <v>2.8199999999999999E-2</v>
      </c>
      <c r="T310" s="21">
        <v>6</v>
      </c>
      <c r="U310" s="21" t="s">
        <v>357</v>
      </c>
      <c r="V310" s="21">
        <v>0.14000000000000001</v>
      </c>
      <c r="W310" s="54">
        <v>1.43E-2</v>
      </c>
      <c r="AD310" s="227"/>
      <c r="AF310" s="47"/>
    </row>
    <row r="311" spans="2:32" ht="14" customHeight="1" x14ac:dyDescent="0.25">
      <c r="B311" s="21">
        <v>7</v>
      </c>
      <c r="C311" s="21" t="s">
        <v>129</v>
      </c>
      <c r="D311" s="50">
        <v>1.64</v>
      </c>
      <c r="E311" s="16">
        <v>2.92E-2</v>
      </c>
      <c r="F311" s="16"/>
      <c r="G311" s="17"/>
      <c r="I311" s="21">
        <v>7</v>
      </c>
      <c r="J311" s="21" t="s">
        <v>129</v>
      </c>
      <c r="K311" s="50">
        <v>2.98</v>
      </c>
      <c r="L311" s="16">
        <v>2.3E-2</v>
      </c>
      <c r="M311" s="55"/>
      <c r="O311" s="21">
        <v>7</v>
      </c>
      <c r="P311" s="57" t="s">
        <v>74</v>
      </c>
      <c r="Q311" s="59">
        <v>1.26</v>
      </c>
      <c r="R311" s="53">
        <v>2.7099999999999999E-2</v>
      </c>
      <c r="S311" s="15"/>
      <c r="T311" s="21">
        <v>7</v>
      </c>
      <c r="U311" s="56" t="s">
        <v>103</v>
      </c>
      <c r="V311" s="21">
        <v>0.09</v>
      </c>
      <c r="W311" s="54">
        <v>9.1000000000000004E-3</v>
      </c>
      <c r="AD311" s="227"/>
      <c r="AF311" s="47"/>
    </row>
    <row r="312" spans="2:32" ht="14" customHeight="1" x14ac:dyDescent="0.25">
      <c r="B312" s="21">
        <v>8</v>
      </c>
      <c r="C312" s="21" t="s">
        <v>127</v>
      </c>
      <c r="D312" s="50">
        <v>1.43</v>
      </c>
      <c r="E312" s="16">
        <v>2.5499999999999998E-2</v>
      </c>
      <c r="F312" s="16"/>
      <c r="G312" s="17"/>
      <c r="I312" s="21">
        <v>8</v>
      </c>
      <c r="J312" s="21" t="s">
        <v>322</v>
      </c>
      <c r="K312" s="50">
        <v>2.62</v>
      </c>
      <c r="L312" s="16">
        <v>2.0199999999999999E-2</v>
      </c>
      <c r="M312" s="55"/>
      <c r="O312" s="21">
        <v>8</v>
      </c>
      <c r="P312" s="57" t="s">
        <v>322</v>
      </c>
      <c r="Q312" s="59">
        <v>1.1499999999999999</v>
      </c>
      <c r="R312" s="53">
        <v>2.46E-2</v>
      </c>
      <c r="S312" s="15"/>
      <c r="T312" s="21">
        <v>8</v>
      </c>
      <c r="U312" s="56" t="s">
        <v>370</v>
      </c>
      <c r="V312" s="21">
        <v>7.0000000000000007E-2</v>
      </c>
      <c r="W312" s="54">
        <v>7.3000000000000001E-3</v>
      </c>
      <c r="AD312" s="227"/>
      <c r="AF312" s="47"/>
    </row>
    <row r="313" spans="2:32" ht="14" customHeight="1" x14ac:dyDescent="0.25">
      <c r="B313" s="21">
        <v>9</v>
      </c>
      <c r="C313" s="21" t="s">
        <v>322</v>
      </c>
      <c r="D313" s="50">
        <v>1.1499999999999999</v>
      </c>
      <c r="E313" s="16">
        <v>2.0400000000000001E-2</v>
      </c>
      <c r="F313" s="16"/>
      <c r="G313" s="17"/>
      <c r="I313" s="21">
        <v>9</v>
      </c>
      <c r="J313" s="21" t="s">
        <v>127</v>
      </c>
      <c r="K313" s="50">
        <v>1.97</v>
      </c>
      <c r="L313" s="16">
        <v>1.5100000000000001E-2</v>
      </c>
      <c r="M313" s="55"/>
      <c r="O313" s="21">
        <v>9</v>
      </c>
      <c r="P313" s="57" t="s">
        <v>323</v>
      </c>
      <c r="Q313" s="58">
        <v>0.82</v>
      </c>
      <c r="R313" s="53">
        <v>1.77E-2</v>
      </c>
      <c r="S313" s="15"/>
      <c r="T313" s="21">
        <v>9</v>
      </c>
      <c r="U313" s="56" t="s">
        <v>101</v>
      </c>
      <c r="V313" s="49">
        <v>0.06</v>
      </c>
      <c r="W313" s="54">
        <v>6.3E-3</v>
      </c>
      <c r="AD313" s="227"/>
      <c r="AF313" s="47"/>
    </row>
    <row r="314" spans="2:32" ht="14" customHeight="1" x14ac:dyDescent="0.25">
      <c r="B314" s="21">
        <v>10</v>
      </c>
      <c r="C314" s="21" t="s">
        <v>323</v>
      </c>
      <c r="D314" s="50">
        <v>0.9</v>
      </c>
      <c r="E314" s="16">
        <v>1.5900000000000001E-2</v>
      </c>
      <c r="F314" s="16"/>
      <c r="G314" s="17"/>
      <c r="I314" s="21">
        <v>10</v>
      </c>
      <c r="J314" s="21" t="s">
        <v>397</v>
      </c>
      <c r="K314" s="50">
        <v>1.89</v>
      </c>
      <c r="L314" s="16">
        <v>1.4500000000000001E-2</v>
      </c>
      <c r="M314" s="55"/>
      <c r="O314" s="21">
        <v>10</v>
      </c>
      <c r="P314" s="57" t="s">
        <v>397</v>
      </c>
      <c r="Q314" s="58">
        <v>0.8</v>
      </c>
      <c r="R314" s="53">
        <v>1.7299999999999999E-2</v>
      </c>
      <c r="S314" s="15"/>
      <c r="T314" s="21">
        <v>10</v>
      </c>
      <c r="U314" s="56" t="s">
        <v>25</v>
      </c>
      <c r="V314" s="21">
        <v>0.02</v>
      </c>
      <c r="W314" s="54">
        <v>2E-3</v>
      </c>
      <c r="AD314" s="227"/>
      <c r="AF314" s="47"/>
    </row>
    <row r="315" spans="2:32" ht="14" customHeight="1" x14ac:dyDescent="0.25">
      <c r="B315" s="21">
        <v>11</v>
      </c>
      <c r="C315" s="21" t="s">
        <v>397</v>
      </c>
      <c r="D315" s="50">
        <v>0.8</v>
      </c>
      <c r="E315" s="16">
        <v>1.43E-2</v>
      </c>
      <c r="F315" s="16"/>
      <c r="G315" s="17"/>
      <c r="I315" s="21">
        <v>11</v>
      </c>
      <c r="J315" s="21" t="s">
        <v>323</v>
      </c>
      <c r="K315" s="50">
        <v>1.61</v>
      </c>
      <c r="L315" s="16">
        <v>1.24E-2</v>
      </c>
      <c r="M315" s="55"/>
      <c r="N315" s="60"/>
      <c r="O315" s="21">
        <v>11</v>
      </c>
      <c r="P315" s="57" t="s">
        <v>325</v>
      </c>
      <c r="Q315" s="58">
        <v>0.77</v>
      </c>
      <c r="R315" s="53">
        <v>1.6400000000000001E-2</v>
      </c>
      <c r="S315" s="15"/>
      <c r="T315" s="21">
        <v>11</v>
      </c>
      <c r="U315" s="56" t="s">
        <v>355</v>
      </c>
      <c r="V315" s="21">
        <v>0.01</v>
      </c>
      <c r="W315" s="54">
        <v>6.9999999999999999E-4</v>
      </c>
      <c r="AD315" s="227"/>
      <c r="AF315" s="47"/>
    </row>
    <row r="316" spans="2:32" ht="14" customHeight="1" x14ac:dyDescent="0.25">
      <c r="B316" s="21">
        <v>12</v>
      </c>
      <c r="C316" s="21" t="s">
        <v>325</v>
      </c>
      <c r="D316" s="50">
        <v>0.77</v>
      </c>
      <c r="E316" s="16">
        <v>1.3599999999999999E-2</v>
      </c>
      <c r="F316" s="16"/>
      <c r="G316" s="17"/>
      <c r="I316" s="21">
        <v>12</v>
      </c>
      <c r="J316" s="21" t="s">
        <v>325</v>
      </c>
      <c r="K316" s="50">
        <v>1.43</v>
      </c>
      <c r="L316" s="16">
        <v>1.0999999999999999E-2</v>
      </c>
      <c r="M316" s="55"/>
      <c r="O316" s="21">
        <v>12</v>
      </c>
      <c r="P316" s="57" t="s">
        <v>326</v>
      </c>
      <c r="Q316" s="58">
        <v>0.46</v>
      </c>
      <c r="R316" s="53">
        <v>0.01</v>
      </c>
      <c r="S316" s="15"/>
      <c r="T316" s="21">
        <v>12</v>
      </c>
      <c r="U316" s="56" t="s">
        <v>99</v>
      </c>
      <c r="V316" s="49">
        <v>0.01</v>
      </c>
      <c r="W316" s="54">
        <v>5.0000000000000001E-4</v>
      </c>
      <c r="AD316" s="227"/>
      <c r="AF316" s="47"/>
    </row>
    <row r="317" spans="2:32" ht="14" customHeight="1" x14ac:dyDescent="0.25">
      <c r="B317" s="21">
        <v>13</v>
      </c>
      <c r="C317" s="21" t="s">
        <v>326</v>
      </c>
      <c r="D317" s="50">
        <v>0.46</v>
      </c>
      <c r="E317" s="16">
        <v>8.3000000000000001E-3</v>
      </c>
      <c r="F317" s="16"/>
      <c r="G317" s="17"/>
      <c r="I317" s="21">
        <v>13</v>
      </c>
      <c r="J317" s="21" t="s">
        <v>326</v>
      </c>
      <c r="K317" s="50">
        <v>1.06</v>
      </c>
      <c r="L317" s="16">
        <v>8.2000000000000007E-3</v>
      </c>
      <c r="M317" s="55"/>
      <c r="O317" s="21">
        <v>13</v>
      </c>
      <c r="P317" s="57" t="s">
        <v>418</v>
      </c>
      <c r="Q317" s="59">
        <v>0.34</v>
      </c>
      <c r="R317" s="53">
        <v>7.4000000000000003E-3</v>
      </c>
      <c r="S317" s="15"/>
      <c r="T317" s="21">
        <v>13</v>
      </c>
      <c r="U317" s="56" t="s">
        <v>356</v>
      </c>
      <c r="V317" s="49">
        <v>0</v>
      </c>
      <c r="W317" s="54">
        <v>2.0000000000000001E-4</v>
      </c>
      <c r="AD317" s="227"/>
      <c r="AF317" s="47"/>
    </row>
    <row r="318" spans="2:32" ht="14" customHeight="1" x14ac:dyDescent="0.25">
      <c r="B318" s="21">
        <v>14</v>
      </c>
      <c r="C318" s="21" t="s">
        <v>418</v>
      </c>
      <c r="D318" s="50">
        <v>0.34</v>
      </c>
      <c r="E318" s="16">
        <v>6.1000000000000004E-3</v>
      </c>
      <c r="F318" s="55"/>
      <c r="G318" s="17"/>
      <c r="I318" s="21">
        <v>14</v>
      </c>
      <c r="J318" s="21" t="s">
        <v>348</v>
      </c>
      <c r="K318" s="50">
        <v>0.7</v>
      </c>
      <c r="L318" s="16">
        <v>5.4000000000000003E-3</v>
      </c>
      <c r="M318" s="55"/>
      <c r="O318" s="21">
        <v>14</v>
      </c>
      <c r="P318" s="57" t="s">
        <v>343</v>
      </c>
      <c r="Q318" s="58">
        <v>0.23</v>
      </c>
      <c r="R318" s="53">
        <v>5.0000000000000001E-3</v>
      </c>
      <c r="S318" s="15"/>
      <c r="T318" s="15">
        <v>14</v>
      </c>
      <c r="U318" s="21" t="s">
        <v>346</v>
      </c>
      <c r="V318" s="49">
        <v>0</v>
      </c>
      <c r="W318" s="54">
        <v>2.0000000000000001E-4</v>
      </c>
      <c r="AD318" s="227"/>
      <c r="AF318" s="47"/>
    </row>
    <row r="319" spans="2:32" ht="14" customHeight="1" x14ac:dyDescent="0.25">
      <c r="B319" s="21">
        <v>15</v>
      </c>
      <c r="C319" s="21" t="s">
        <v>343</v>
      </c>
      <c r="D319" s="50">
        <v>0.23</v>
      </c>
      <c r="E319" s="16">
        <v>4.1000000000000003E-3</v>
      </c>
      <c r="F319" s="55"/>
      <c r="G319" s="17"/>
      <c r="I319" s="21">
        <v>15</v>
      </c>
      <c r="J319" s="21" t="s">
        <v>418</v>
      </c>
      <c r="K319" s="50">
        <v>0.62</v>
      </c>
      <c r="L319" s="16">
        <v>4.7999999999999996E-3</v>
      </c>
      <c r="M319" s="55"/>
      <c r="O319" s="21">
        <v>15</v>
      </c>
      <c r="P319" s="57" t="s">
        <v>348</v>
      </c>
      <c r="Q319" s="59">
        <v>0.22</v>
      </c>
      <c r="R319" s="53">
        <v>4.5999999999999999E-3</v>
      </c>
      <c r="S319" s="15"/>
      <c r="T319" s="61"/>
      <c r="U319" s="21" t="s">
        <v>77</v>
      </c>
      <c r="V319" s="49">
        <v>0</v>
      </c>
      <c r="W319" s="54">
        <v>1E-4</v>
      </c>
      <c r="X319" s="216"/>
      <c r="AD319" s="227"/>
      <c r="AF319" s="47"/>
    </row>
    <row r="320" spans="2:32" ht="14" customHeight="1" x14ac:dyDescent="0.25">
      <c r="B320" s="21"/>
      <c r="C320" s="21" t="s">
        <v>77</v>
      </c>
      <c r="D320" s="50">
        <v>1.45</v>
      </c>
      <c r="E320" s="16">
        <v>2.8500000000000001E-2</v>
      </c>
      <c r="F320" s="55"/>
      <c r="G320" s="17"/>
      <c r="J320" s="21" t="s">
        <v>77</v>
      </c>
      <c r="K320" s="15">
        <v>3.06</v>
      </c>
      <c r="L320" s="16">
        <v>2.01E-2</v>
      </c>
      <c r="O320" s="21"/>
      <c r="P320" s="21" t="s">
        <v>77</v>
      </c>
      <c r="Q320" s="62">
        <v>0.77</v>
      </c>
      <c r="R320" s="53">
        <v>1.52E-2</v>
      </c>
      <c r="S320" s="15"/>
      <c r="T320" s="61"/>
      <c r="U320" s="21" t="s">
        <v>78</v>
      </c>
      <c r="V320" s="49">
        <v>10</v>
      </c>
      <c r="W320" s="54">
        <v>1</v>
      </c>
      <c r="X320" s="216"/>
      <c r="AD320" s="227"/>
      <c r="AF320" s="47"/>
    </row>
    <row r="321" spans="2:32" ht="14" customHeight="1" x14ac:dyDescent="0.25">
      <c r="B321" s="21"/>
      <c r="C321" s="21" t="s">
        <v>78</v>
      </c>
      <c r="D321" s="50">
        <v>56.6</v>
      </c>
      <c r="E321" s="16">
        <v>1</v>
      </c>
      <c r="F321" s="55"/>
      <c r="G321" s="17"/>
      <c r="J321" s="21" t="s">
        <v>78</v>
      </c>
      <c r="K321" s="15">
        <v>130.19999999999999</v>
      </c>
      <c r="L321" s="16">
        <v>1</v>
      </c>
      <c r="O321" s="43"/>
      <c r="P321" s="21" t="s">
        <v>78</v>
      </c>
      <c r="Q321" s="62">
        <v>46.6</v>
      </c>
      <c r="R321" s="16">
        <v>1</v>
      </c>
      <c r="S321" s="15"/>
      <c r="T321" s="61"/>
      <c r="U321" s="216"/>
      <c r="V321" s="216"/>
      <c r="W321" s="216"/>
      <c r="X321" s="216"/>
      <c r="Z321" s="47"/>
      <c r="AD321" s="227"/>
      <c r="AF321" s="47"/>
    </row>
    <row r="322" spans="2:32" ht="14" customHeight="1" x14ac:dyDescent="0.25">
      <c r="D322" s="43"/>
      <c r="J322" s="43"/>
      <c r="O322" s="227"/>
      <c r="X322" s="227"/>
      <c r="Z322" s="47"/>
      <c r="AD322" s="227"/>
      <c r="AF322" s="47"/>
    </row>
    <row r="323" spans="2:32" ht="14" customHeight="1" x14ac:dyDescent="0.25">
      <c r="B323" s="15" t="s">
        <v>419</v>
      </c>
      <c r="D323" s="43"/>
      <c r="I323" s="15" t="s">
        <v>420</v>
      </c>
      <c r="J323" s="43"/>
      <c r="O323" s="25" t="s">
        <v>421</v>
      </c>
      <c r="T323" s="25" t="s">
        <v>422</v>
      </c>
      <c r="X323" s="227"/>
      <c r="Z323" s="47"/>
      <c r="AC323" s="227"/>
    </row>
    <row r="324" spans="2:32" ht="14" customHeight="1" x14ac:dyDescent="0.25">
      <c r="B324" s="15" t="s">
        <v>380</v>
      </c>
      <c r="C324" s="21" t="s">
        <v>335</v>
      </c>
      <c r="D324" s="50" t="s">
        <v>336</v>
      </c>
      <c r="E324" s="16" t="s">
        <v>384</v>
      </c>
      <c r="F324" s="21" t="s">
        <v>423</v>
      </c>
      <c r="G324" s="51" t="s">
        <v>424</v>
      </c>
      <c r="I324" s="15" t="s">
        <v>380</v>
      </c>
      <c r="J324" s="21" t="s">
        <v>335</v>
      </c>
      <c r="K324" s="50" t="s">
        <v>336</v>
      </c>
      <c r="L324" s="16" t="s">
        <v>384</v>
      </c>
      <c r="M324" s="52" t="s">
        <v>425</v>
      </c>
      <c r="O324" s="15" t="s">
        <v>380</v>
      </c>
      <c r="P324" s="15" t="s">
        <v>381</v>
      </c>
      <c r="Q324" s="15" t="s">
        <v>382</v>
      </c>
      <c r="R324" s="15" t="s">
        <v>384</v>
      </c>
      <c r="S324" s="21"/>
      <c r="T324" s="15" t="s">
        <v>380</v>
      </c>
      <c r="U324" s="15" t="s">
        <v>381</v>
      </c>
      <c r="V324" s="15" t="s">
        <v>382</v>
      </c>
      <c r="W324" s="15" t="s">
        <v>384</v>
      </c>
      <c r="X324" s="21"/>
      <c r="Z324" s="47"/>
      <c r="AA324" s="25"/>
      <c r="AB324" s="21"/>
      <c r="AC324" s="50"/>
      <c r="AD324" s="16"/>
      <c r="AE324" s="21"/>
      <c r="AF324" s="21"/>
    </row>
    <row r="325" spans="2:32" ht="14" customHeight="1" x14ac:dyDescent="0.25">
      <c r="B325" s="21">
        <v>1</v>
      </c>
      <c r="C325" s="21" t="s">
        <v>68</v>
      </c>
      <c r="D325" s="9">
        <v>15.43</v>
      </c>
      <c r="E325" s="16">
        <v>0.44450000000000001</v>
      </c>
      <c r="F325" s="16"/>
      <c r="G325" s="17"/>
      <c r="I325" s="21">
        <v>1</v>
      </c>
      <c r="J325" s="21" t="s">
        <v>68</v>
      </c>
      <c r="K325" s="9">
        <v>33.68</v>
      </c>
      <c r="L325" s="21">
        <v>0.45839999999999997</v>
      </c>
      <c r="M325" s="21"/>
      <c r="O325" s="15">
        <v>1</v>
      </c>
      <c r="P325" s="15" t="s">
        <v>98</v>
      </c>
      <c r="Q325" s="15">
        <v>10.91</v>
      </c>
      <c r="R325" s="15">
        <v>0.3841</v>
      </c>
      <c r="T325" s="15">
        <v>1</v>
      </c>
      <c r="U325" s="15" t="s">
        <v>98</v>
      </c>
      <c r="V325" s="15">
        <v>4.5199999999999996</v>
      </c>
      <c r="W325" s="15">
        <v>0.71809999999999996</v>
      </c>
      <c r="Z325" s="47"/>
      <c r="AA325" s="21"/>
      <c r="AB325" s="21"/>
      <c r="AC325" s="9"/>
      <c r="AD325" s="16"/>
      <c r="AE325" s="16"/>
      <c r="AF325" s="219"/>
    </row>
    <row r="326" spans="2:32" ht="14" customHeight="1" x14ac:dyDescent="0.25">
      <c r="B326" s="21">
        <v>2</v>
      </c>
      <c r="C326" s="21" t="s">
        <v>69</v>
      </c>
      <c r="D326" s="50">
        <v>8.1999999999999993</v>
      </c>
      <c r="E326" s="16">
        <v>0.23619999999999999</v>
      </c>
      <c r="F326" s="16"/>
      <c r="G326" s="17"/>
      <c r="I326" s="21">
        <v>2</v>
      </c>
      <c r="J326" s="21" t="s">
        <v>69</v>
      </c>
      <c r="K326" s="50">
        <v>17.079999999999998</v>
      </c>
      <c r="L326" s="16">
        <v>0.2324</v>
      </c>
      <c r="M326" s="55"/>
      <c r="O326" s="21">
        <v>2</v>
      </c>
      <c r="P326" s="21" t="s">
        <v>69</v>
      </c>
      <c r="Q326" s="50">
        <v>8.19</v>
      </c>
      <c r="R326" s="56">
        <v>0.28820000000000001</v>
      </c>
      <c r="T326" s="21">
        <v>2</v>
      </c>
      <c r="U326" s="56" t="s">
        <v>100</v>
      </c>
      <c r="V326" s="21">
        <v>0.56999999999999995</v>
      </c>
      <c r="W326" s="57">
        <v>9.0200000000000002E-2</v>
      </c>
      <c r="Z326" s="47"/>
      <c r="AA326" s="21"/>
      <c r="AB326" s="21"/>
      <c r="AC326" s="50"/>
      <c r="AD326" s="16"/>
      <c r="AE326" s="16"/>
      <c r="AF326" s="219"/>
    </row>
    <row r="327" spans="2:32" ht="14" customHeight="1" x14ac:dyDescent="0.25">
      <c r="B327" s="21">
        <v>3</v>
      </c>
      <c r="C327" s="21" t="s">
        <v>70</v>
      </c>
      <c r="D327" s="50">
        <v>1.81</v>
      </c>
      <c r="E327" s="16">
        <v>5.2200000000000003E-2</v>
      </c>
      <c r="F327" s="16"/>
      <c r="G327" s="17"/>
      <c r="I327" s="21">
        <v>3</v>
      </c>
      <c r="J327" s="21" t="s">
        <v>71</v>
      </c>
      <c r="K327" s="50">
        <v>4.09</v>
      </c>
      <c r="L327" s="16">
        <v>5.57E-2</v>
      </c>
      <c r="M327" s="55"/>
      <c r="O327" s="21">
        <v>3</v>
      </c>
      <c r="P327" s="57" t="s">
        <v>70</v>
      </c>
      <c r="Q327" s="58">
        <v>1.8</v>
      </c>
      <c r="R327" s="53">
        <v>6.3399999999999998E-2</v>
      </c>
      <c r="T327" s="21">
        <v>3</v>
      </c>
      <c r="U327" s="56" t="s">
        <v>172</v>
      </c>
      <c r="V327" s="21">
        <v>0.48</v>
      </c>
      <c r="W327" s="54">
        <v>7.5600000000000001E-2</v>
      </c>
      <c r="Z327" s="47"/>
      <c r="AA327" s="21"/>
      <c r="AB327" s="21"/>
      <c r="AC327" s="50"/>
      <c r="AD327" s="16"/>
      <c r="AE327" s="16"/>
      <c r="AF327" s="219"/>
    </row>
    <row r="328" spans="2:32" ht="14" customHeight="1" x14ac:dyDescent="0.25">
      <c r="B328" s="21">
        <v>4</v>
      </c>
      <c r="C328" s="21" t="s">
        <v>73</v>
      </c>
      <c r="D328" s="50">
        <v>1.73</v>
      </c>
      <c r="E328" s="16">
        <v>4.9700000000000001E-2</v>
      </c>
      <c r="F328" s="16"/>
      <c r="G328" s="17"/>
      <c r="I328" s="21">
        <v>4</v>
      </c>
      <c r="J328" s="21" t="s">
        <v>70</v>
      </c>
      <c r="K328" s="50">
        <v>3.71</v>
      </c>
      <c r="L328" s="16">
        <v>5.0500000000000003E-2</v>
      </c>
      <c r="M328" s="55"/>
      <c r="O328" s="21">
        <v>4</v>
      </c>
      <c r="P328" s="57" t="s">
        <v>73</v>
      </c>
      <c r="Q328" s="59">
        <v>1.57</v>
      </c>
      <c r="R328" s="53">
        <v>5.5399999999999998E-2</v>
      </c>
      <c r="T328" s="21">
        <v>4</v>
      </c>
      <c r="U328" s="56" t="s">
        <v>104</v>
      </c>
      <c r="V328" s="21">
        <v>0.3</v>
      </c>
      <c r="W328" s="54">
        <v>4.7899999999999998E-2</v>
      </c>
      <c r="Z328" s="47"/>
      <c r="AA328" s="21"/>
      <c r="AB328" s="21"/>
      <c r="AC328" s="50"/>
      <c r="AD328" s="16"/>
      <c r="AE328" s="16"/>
      <c r="AF328" s="219"/>
    </row>
    <row r="329" spans="2:32" ht="14" customHeight="1" x14ac:dyDescent="0.25">
      <c r="B329" s="21">
        <v>5</v>
      </c>
      <c r="C329" s="21" t="s">
        <v>71</v>
      </c>
      <c r="D329" s="50">
        <v>1.68</v>
      </c>
      <c r="E329" s="16">
        <v>4.8300000000000003E-2</v>
      </c>
      <c r="F329" s="16"/>
      <c r="G329" s="17"/>
      <c r="I329" s="21">
        <v>5</v>
      </c>
      <c r="J329" s="21" t="s">
        <v>73</v>
      </c>
      <c r="K329" s="50">
        <v>3.26</v>
      </c>
      <c r="L329" s="16">
        <v>4.4400000000000002E-2</v>
      </c>
      <c r="M329" s="55"/>
      <c r="O329" s="21">
        <v>5</v>
      </c>
      <c r="P329" s="57" t="s">
        <v>71</v>
      </c>
      <c r="Q329" s="58">
        <v>1.1100000000000001</v>
      </c>
      <c r="R329" s="53">
        <v>3.9100000000000003E-2</v>
      </c>
      <c r="T329" s="21">
        <v>5</v>
      </c>
      <c r="U329" s="21" t="s">
        <v>129</v>
      </c>
      <c r="V329" s="21">
        <v>0.17</v>
      </c>
      <c r="W329" s="54">
        <v>2.63E-2</v>
      </c>
      <c r="Z329" s="47"/>
      <c r="AA329" s="21"/>
      <c r="AB329" s="21"/>
      <c r="AC329" s="50"/>
      <c r="AD329" s="16"/>
      <c r="AE329" s="16"/>
      <c r="AF329" s="219"/>
    </row>
    <row r="330" spans="2:32" ht="14" customHeight="1" x14ac:dyDescent="0.25">
      <c r="B330" s="21">
        <v>6</v>
      </c>
      <c r="C330" s="21" t="s">
        <v>74</v>
      </c>
      <c r="D330" s="50">
        <v>1.3</v>
      </c>
      <c r="E330" s="16">
        <v>3.7499999999999999E-2</v>
      </c>
      <c r="F330" s="16"/>
      <c r="G330" s="17"/>
      <c r="I330" s="21">
        <v>6</v>
      </c>
      <c r="J330" s="21" t="s">
        <v>74</v>
      </c>
      <c r="K330" s="50">
        <v>3.01</v>
      </c>
      <c r="L330" s="16">
        <v>4.0899999999999999E-2</v>
      </c>
      <c r="M330" s="55"/>
      <c r="O330" s="21">
        <v>6</v>
      </c>
      <c r="P330" s="57" t="s">
        <v>74</v>
      </c>
      <c r="Q330" s="59">
        <v>1</v>
      </c>
      <c r="R330" s="53">
        <v>3.5200000000000002E-2</v>
      </c>
      <c r="T330" s="21">
        <v>6</v>
      </c>
      <c r="U330" s="21" t="s">
        <v>73</v>
      </c>
      <c r="V330" s="21">
        <v>0.15</v>
      </c>
      <c r="W330" s="54">
        <v>2.4299999999999999E-2</v>
      </c>
      <c r="Z330" s="47"/>
      <c r="AD330" s="227"/>
      <c r="AF330" s="47"/>
    </row>
    <row r="331" spans="2:32" ht="14" customHeight="1" x14ac:dyDescent="0.25">
      <c r="B331" s="21">
        <v>7</v>
      </c>
      <c r="C331" s="21" t="s">
        <v>322</v>
      </c>
      <c r="D331" s="50">
        <v>0.69</v>
      </c>
      <c r="E331" s="16">
        <v>1.9800000000000002E-2</v>
      </c>
      <c r="F331" s="16"/>
      <c r="G331" s="17"/>
      <c r="I331" s="21">
        <v>7</v>
      </c>
      <c r="J331" s="21" t="s">
        <v>322</v>
      </c>
      <c r="K331" s="50">
        <v>1.47</v>
      </c>
      <c r="L331" s="16">
        <v>0.02</v>
      </c>
      <c r="M331" s="55"/>
      <c r="O331" s="21">
        <v>7</v>
      </c>
      <c r="P331" s="57" t="s">
        <v>322</v>
      </c>
      <c r="Q331" s="59">
        <v>0.69</v>
      </c>
      <c r="R331" s="53">
        <v>2.4199999999999999E-2</v>
      </c>
      <c r="S331" s="15"/>
      <c r="T331" s="21">
        <v>7</v>
      </c>
      <c r="U331" s="56" t="s">
        <v>185</v>
      </c>
      <c r="V331" s="21">
        <v>0.06</v>
      </c>
      <c r="W331" s="54">
        <v>8.8000000000000005E-3</v>
      </c>
      <c r="Z331" s="47"/>
      <c r="AD331" s="227"/>
      <c r="AF331" s="47"/>
    </row>
    <row r="332" spans="2:32" ht="14" customHeight="1" x14ac:dyDescent="0.25">
      <c r="B332" s="21">
        <v>8</v>
      </c>
      <c r="C332" s="21" t="s">
        <v>325</v>
      </c>
      <c r="D332" s="50">
        <v>0.6</v>
      </c>
      <c r="E332" s="16">
        <v>1.7299999999999999E-2</v>
      </c>
      <c r="F332" s="16"/>
      <c r="G332" s="17"/>
      <c r="I332" s="21">
        <v>8</v>
      </c>
      <c r="J332" s="21" t="s">
        <v>129</v>
      </c>
      <c r="K332" s="50">
        <v>1.34</v>
      </c>
      <c r="L332" s="16">
        <v>1.8200000000000001E-2</v>
      </c>
      <c r="M332" s="55"/>
      <c r="O332" s="21">
        <v>8</v>
      </c>
      <c r="P332" s="57" t="s">
        <v>325</v>
      </c>
      <c r="Q332" s="59">
        <v>0.6</v>
      </c>
      <c r="R332" s="53">
        <v>2.12E-2</v>
      </c>
      <c r="S332" s="15"/>
      <c r="T332" s="21">
        <v>8</v>
      </c>
      <c r="U332" s="56" t="s">
        <v>370</v>
      </c>
      <c r="V332" s="21">
        <v>0.02</v>
      </c>
      <c r="W332" s="54">
        <v>2.8999999999999998E-3</v>
      </c>
      <c r="Z332" s="47"/>
      <c r="AD332" s="227"/>
      <c r="AF332" s="47"/>
    </row>
    <row r="333" spans="2:32" ht="14" customHeight="1" x14ac:dyDescent="0.25">
      <c r="B333" s="21">
        <v>9</v>
      </c>
      <c r="C333" s="21" t="s">
        <v>129</v>
      </c>
      <c r="D333" s="50">
        <v>0.56999999999999995</v>
      </c>
      <c r="E333" s="16">
        <v>1.6299999999999999E-2</v>
      </c>
      <c r="F333" s="16"/>
      <c r="G333" s="17"/>
      <c r="I333" s="21">
        <v>9</v>
      </c>
      <c r="J333" s="21" t="s">
        <v>397</v>
      </c>
      <c r="K333" s="50">
        <v>1.08</v>
      </c>
      <c r="L333" s="16">
        <v>1.47E-2</v>
      </c>
      <c r="M333" s="55"/>
      <c r="O333" s="21">
        <v>9</v>
      </c>
      <c r="P333" s="57" t="s">
        <v>397</v>
      </c>
      <c r="Q333" s="58">
        <v>0.5</v>
      </c>
      <c r="R333" s="53">
        <v>1.7600000000000001E-2</v>
      </c>
      <c r="S333" s="15"/>
      <c r="T333" s="21">
        <v>9</v>
      </c>
      <c r="U333" s="56" t="s">
        <v>101</v>
      </c>
      <c r="V333" s="49">
        <v>0.01</v>
      </c>
      <c r="W333" s="54">
        <v>1.8E-3</v>
      </c>
      <c r="Z333" s="47"/>
      <c r="AD333" s="227"/>
      <c r="AF333" s="47"/>
    </row>
    <row r="334" spans="2:32" ht="14" customHeight="1" x14ac:dyDescent="0.25">
      <c r="B334" s="21">
        <v>10</v>
      </c>
      <c r="C334" s="21" t="s">
        <v>397</v>
      </c>
      <c r="D334" s="50">
        <v>0.5</v>
      </c>
      <c r="E334" s="16">
        <v>1.44E-2</v>
      </c>
      <c r="F334" s="16"/>
      <c r="G334" s="17"/>
      <c r="I334" s="21">
        <v>10</v>
      </c>
      <c r="J334" s="21" t="s">
        <v>323</v>
      </c>
      <c r="K334" s="50">
        <v>0.71</v>
      </c>
      <c r="L334" s="16">
        <v>9.7000000000000003E-3</v>
      </c>
      <c r="M334" s="55"/>
      <c r="O334" s="21">
        <v>10</v>
      </c>
      <c r="P334" s="57" t="s">
        <v>129</v>
      </c>
      <c r="Q334" s="58">
        <v>0.4</v>
      </c>
      <c r="R334" s="53">
        <v>1.41E-2</v>
      </c>
      <c r="S334" s="15"/>
      <c r="T334" s="21">
        <v>10</v>
      </c>
      <c r="U334" s="56" t="s">
        <v>99</v>
      </c>
      <c r="V334" s="21">
        <v>0.01</v>
      </c>
      <c r="W334" s="54">
        <v>1.6000000000000001E-3</v>
      </c>
      <c r="Z334" s="47"/>
      <c r="AD334" s="227"/>
      <c r="AF334" s="47"/>
    </row>
    <row r="335" spans="2:32" ht="14" customHeight="1" x14ac:dyDescent="0.25">
      <c r="B335" s="21">
        <v>11</v>
      </c>
      <c r="C335" s="21" t="s">
        <v>127</v>
      </c>
      <c r="D335" s="50">
        <v>0.48</v>
      </c>
      <c r="E335" s="16">
        <v>1.37E-2</v>
      </c>
      <c r="F335" s="16"/>
      <c r="G335" s="17"/>
      <c r="I335" s="21">
        <v>11</v>
      </c>
      <c r="J335" s="21" t="s">
        <v>325</v>
      </c>
      <c r="K335" s="50">
        <v>0.66</v>
      </c>
      <c r="L335" s="16">
        <v>8.9999999999999993E-3</v>
      </c>
      <c r="M335" s="55"/>
      <c r="N335" s="60"/>
      <c r="O335" s="21">
        <v>11</v>
      </c>
      <c r="P335" s="57" t="s">
        <v>326</v>
      </c>
      <c r="Q335" s="58">
        <v>0.28999999999999998</v>
      </c>
      <c r="R335" s="53">
        <v>1.01E-2</v>
      </c>
      <c r="S335" s="15"/>
      <c r="T335" s="21">
        <v>11</v>
      </c>
      <c r="U335" s="56" t="s">
        <v>25</v>
      </c>
      <c r="V335" s="21">
        <v>0.01</v>
      </c>
      <c r="W335" s="54">
        <v>1.5E-3</v>
      </c>
      <c r="Z335" s="47"/>
      <c r="AD335" s="227"/>
      <c r="AF335" s="47"/>
    </row>
    <row r="336" spans="2:32" ht="14" customHeight="1" x14ac:dyDescent="0.25">
      <c r="B336" s="21">
        <v>12</v>
      </c>
      <c r="C336" s="21" t="s">
        <v>323</v>
      </c>
      <c r="D336" s="50">
        <v>0.3</v>
      </c>
      <c r="E336" s="16">
        <v>8.6999999999999994E-3</v>
      </c>
      <c r="F336" s="16"/>
      <c r="G336" s="17"/>
      <c r="I336" s="21">
        <v>12</v>
      </c>
      <c r="J336" s="21" t="s">
        <v>326</v>
      </c>
      <c r="K336" s="50">
        <v>0.59</v>
      </c>
      <c r="L336" s="16">
        <v>8.0999999999999996E-3</v>
      </c>
      <c r="M336" s="55"/>
      <c r="O336" s="21">
        <v>12</v>
      </c>
      <c r="P336" s="57" t="s">
        <v>323</v>
      </c>
      <c r="Q336" s="58">
        <v>0.28000000000000003</v>
      </c>
      <c r="R336" s="53">
        <v>0.01</v>
      </c>
      <c r="S336" s="15"/>
      <c r="T336" s="21">
        <v>12</v>
      </c>
      <c r="U336" s="56" t="s">
        <v>355</v>
      </c>
      <c r="V336" s="49">
        <v>0</v>
      </c>
      <c r="W336" s="54">
        <v>6.9999999999999999E-4</v>
      </c>
      <c r="Z336" s="47"/>
      <c r="AD336" s="227"/>
      <c r="AF336" s="47"/>
    </row>
    <row r="337" spans="2:32" ht="14" customHeight="1" x14ac:dyDescent="0.25">
      <c r="B337" s="21">
        <v>13</v>
      </c>
      <c r="C337" s="21" t="s">
        <v>326</v>
      </c>
      <c r="D337" s="50">
        <v>0.28999999999999998</v>
      </c>
      <c r="E337" s="16">
        <v>8.3000000000000001E-3</v>
      </c>
      <c r="F337" s="16"/>
      <c r="G337" s="17"/>
      <c r="I337" s="21">
        <v>13</v>
      </c>
      <c r="J337" s="21" t="s">
        <v>127</v>
      </c>
      <c r="K337" s="50">
        <v>0.53</v>
      </c>
      <c r="L337" s="16">
        <v>7.3000000000000001E-3</v>
      </c>
      <c r="M337" s="55"/>
      <c r="O337" s="21">
        <v>13</v>
      </c>
      <c r="P337" s="57" t="s">
        <v>343</v>
      </c>
      <c r="Q337" s="59">
        <v>0.22</v>
      </c>
      <c r="R337" s="53">
        <v>7.7000000000000002E-3</v>
      </c>
      <c r="S337" s="15"/>
      <c r="T337" s="21">
        <v>13</v>
      </c>
      <c r="U337" s="56" t="s">
        <v>356</v>
      </c>
      <c r="V337" s="49">
        <v>0</v>
      </c>
      <c r="W337" s="54">
        <v>5.0000000000000001E-4</v>
      </c>
      <c r="Z337" s="47"/>
      <c r="AD337" s="227"/>
      <c r="AF337" s="47"/>
    </row>
    <row r="338" spans="2:32" ht="14" customHeight="1" x14ac:dyDescent="0.25">
      <c r="B338" s="21">
        <v>14</v>
      </c>
      <c r="C338" s="21" t="s">
        <v>343</v>
      </c>
      <c r="D338" s="50">
        <v>0.22</v>
      </c>
      <c r="E338" s="16">
        <v>6.3E-3</v>
      </c>
      <c r="F338" s="55"/>
      <c r="G338" s="17"/>
      <c r="I338" s="21">
        <v>14</v>
      </c>
      <c r="J338" s="21" t="s">
        <v>348</v>
      </c>
      <c r="K338" s="50">
        <v>0.48</v>
      </c>
      <c r="L338" s="16">
        <v>6.6E-3</v>
      </c>
      <c r="M338" s="55"/>
      <c r="O338" s="21">
        <v>14</v>
      </c>
      <c r="P338" s="57" t="s">
        <v>348</v>
      </c>
      <c r="Q338" s="58">
        <v>0.22</v>
      </c>
      <c r="R338" s="53">
        <v>7.6E-3</v>
      </c>
      <c r="S338" s="15"/>
      <c r="T338" s="15">
        <v>14</v>
      </c>
      <c r="U338" s="21" t="s">
        <v>426</v>
      </c>
      <c r="V338" s="49">
        <v>0</v>
      </c>
      <c r="W338" s="54">
        <v>0</v>
      </c>
      <c r="Z338" s="47"/>
      <c r="AD338" s="227"/>
      <c r="AF338" s="47"/>
    </row>
    <row r="339" spans="2:32" ht="14" customHeight="1" x14ac:dyDescent="0.25">
      <c r="B339" s="21">
        <v>15</v>
      </c>
      <c r="C339" s="21" t="s">
        <v>348</v>
      </c>
      <c r="D339" s="50">
        <v>0.22</v>
      </c>
      <c r="E339" s="16">
        <v>6.1999999999999998E-3</v>
      </c>
      <c r="F339" s="55"/>
      <c r="G339" s="17"/>
      <c r="I339" s="21">
        <v>15</v>
      </c>
      <c r="J339" s="21" t="s">
        <v>343</v>
      </c>
      <c r="K339" s="50">
        <v>0.31</v>
      </c>
      <c r="L339" s="16">
        <v>4.1999999999999997E-3</v>
      </c>
      <c r="M339" s="55"/>
      <c r="O339" s="21">
        <v>15</v>
      </c>
      <c r="P339" s="57" t="s">
        <v>427</v>
      </c>
      <c r="Q339" s="59">
        <v>0.16</v>
      </c>
      <c r="R339" s="53">
        <v>5.5999999999999999E-3</v>
      </c>
      <c r="S339" s="15"/>
      <c r="T339" s="61"/>
      <c r="U339" s="21" t="s">
        <v>77</v>
      </c>
      <c r="V339" s="49">
        <v>0</v>
      </c>
      <c r="W339" s="54">
        <v>0</v>
      </c>
      <c r="X339" s="216"/>
      <c r="Z339" s="47"/>
      <c r="AD339" s="227"/>
      <c r="AF339" s="47"/>
    </row>
    <row r="340" spans="2:32" ht="14" customHeight="1" x14ac:dyDescent="0.25">
      <c r="B340" s="21"/>
      <c r="C340" s="21" t="s">
        <v>77</v>
      </c>
      <c r="D340" s="50">
        <v>0.71555237900755497</v>
      </c>
      <c r="E340" s="16">
        <v>2.0600000000000101E-2</v>
      </c>
      <c r="F340" s="55"/>
      <c r="G340" s="17"/>
      <c r="J340" s="21" t="s">
        <v>77</v>
      </c>
      <c r="K340" s="15">
        <v>1.46</v>
      </c>
      <c r="L340" s="16">
        <v>1.9900000000000001E-2</v>
      </c>
      <c r="O340" s="21"/>
      <c r="P340" s="21" t="s">
        <v>77</v>
      </c>
      <c r="Q340" s="62">
        <v>0.45</v>
      </c>
      <c r="R340" s="53">
        <v>1.6E-2</v>
      </c>
      <c r="S340" s="15"/>
      <c r="T340" s="61"/>
      <c r="U340" s="21" t="s">
        <v>78</v>
      </c>
      <c r="V340" s="49">
        <v>6.3</v>
      </c>
      <c r="W340" s="54">
        <v>1</v>
      </c>
      <c r="X340" s="216"/>
      <c r="Z340" s="47"/>
      <c r="AD340" s="227"/>
      <c r="AF340" s="47"/>
    </row>
    <row r="341" spans="2:32" ht="14" customHeight="1" x14ac:dyDescent="0.25">
      <c r="B341" s="21"/>
      <c r="C341" s="21" t="s">
        <v>78</v>
      </c>
      <c r="D341" s="50">
        <v>34.735552379007501</v>
      </c>
      <c r="E341" s="16">
        <v>1</v>
      </c>
      <c r="F341" s="55"/>
      <c r="G341" s="17"/>
      <c r="J341" s="21" t="s">
        <v>78</v>
      </c>
      <c r="K341" s="15">
        <v>73.459999999999994</v>
      </c>
      <c r="L341" s="16">
        <v>1</v>
      </c>
      <c r="O341" s="43"/>
      <c r="P341" s="21" t="s">
        <v>78</v>
      </c>
      <c r="Q341" s="62">
        <f>27.94/98.4%</f>
        <v>28.394308943089431</v>
      </c>
      <c r="R341" s="16">
        <v>1</v>
      </c>
      <c r="S341" s="15"/>
      <c r="T341" s="61"/>
      <c r="U341" s="216"/>
      <c r="V341" s="216"/>
      <c r="W341" s="216"/>
      <c r="X341" s="216"/>
      <c r="Z341" s="47"/>
      <c r="AD341" s="227"/>
      <c r="AF341" s="47"/>
    </row>
    <row r="342" spans="2:32" ht="14" customHeight="1" x14ac:dyDescent="0.25">
      <c r="B342" s="63"/>
      <c r="C342" s="63"/>
      <c r="D342" s="63"/>
      <c r="E342" s="64"/>
      <c r="F342" s="63"/>
      <c r="G342" s="17"/>
      <c r="J342" s="43"/>
      <c r="O342" s="227"/>
      <c r="T342" s="61"/>
      <c r="U342" s="216"/>
      <c r="V342" s="216"/>
      <c r="W342" s="216"/>
      <c r="X342" s="216"/>
      <c r="Z342" s="47"/>
      <c r="AD342" s="227"/>
      <c r="AF342" s="47"/>
    </row>
    <row r="343" spans="2:32" ht="14" customHeight="1" x14ac:dyDescent="0.25">
      <c r="B343" s="15" t="s">
        <v>428</v>
      </c>
      <c r="D343" s="43"/>
      <c r="G343" s="17"/>
      <c r="I343" s="15" t="s">
        <v>428</v>
      </c>
      <c r="J343" s="43"/>
      <c r="O343" s="25" t="s">
        <v>429</v>
      </c>
      <c r="T343" s="25" t="s">
        <v>430</v>
      </c>
      <c r="X343" s="227"/>
      <c r="Z343" s="47"/>
      <c r="AD343" s="227"/>
      <c r="AF343" s="47"/>
    </row>
    <row r="344" spans="2:32" ht="14" customHeight="1" x14ac:dyDescent="0.25">
      <c r="B344" s="15" t="s">
        <v>380</v>
      </c>
      <c r="C344" s="21" t="s">
        <v>335</v>
      </c>
      <c r="D344" s="50" t="s">
        <v>336</v>
      </c>
      <c r="E344" s="16" t="s">
        <v>384</v>
      </c>
      <c r="F344" s="21" t="s">
        <v>423</v>
      </c>
      <c r="G344" s="51" t="s">
        <v>424</v>
      </c>
      <c r="I344" s="15" t="s">
        <v>380</v>
      </c>
      <c r="J344" s="21" t="s">
        <v>335</v>
      </c>
      <c r="K344" s="50" t="s">
        <v>336</v>
      </c>
      <c r="L344" s="16" t="s">
        <v>384</v>
      </c>
      <c r="M344" s="52" t="s">
        <v>425</v>
      </c>
      <c r="O344" s="25" t="s">
        <v>380</v>
      </c>
      <c r="P344" s="6" t="s">
        <v>381</v>
      </c>
      <c r="Q344" s="6" t="s">
        <v>382</v>
      </c>
      <c r="R344" s="6" t="s">
        <v>384</v>
      </c>
      <c r="S344" s="21"/>
      <c r="T344" s="25" t="s">
        <v>380</v>
      </c>
      <c r="U344" s="6" t="s">
        <v>381</v>
      </c>
      <c r="V344" s="6" t="s">
        <v>382</v>
      </c>
      <c r="W344" s="6" t="s">
        <v>384</v>
      </c>
      <c r="X344" s="21"/>
      <c r="Z344" s="47"/>
      <c r="AA344" s="25"/>
      <c r="AB344" s="21"/>
      <c r="AC344" s="50"/>
      <c r="AD344" s="16"/>
      <c r="AE344" s="21"/>
      <c r="AF344" s="21"/>
    </row>
    <row r="345" spans="2:32" ht="14" customHeight="1" x14ac:dyDescent="0.25">
      <c r="B345" s="21">
        <v>1</v>
      </c>
      <c r="C345" s="21" t="s">
        <v>68</v>
      </c>
      <c r="D345" s="9">
        <v>18.25</v>
      </c>
      <c r="E345" s="16">
        <v>0.4708</v>
      </c>
      <c r="F345" s="55"/>
      <c r="G345" s="55"/>
      <c r="I345" s="21">
        <v>1</v>
      </c>
      <c r="J345" s="21" t="s">
        <v>68</v>
      </c>
      <c r="K345" s="9">
        <v>18.25</v>
      </c>
      <c r="L345" s="21">
        <v>0.4708</v>
      </c>
      <c r="M345" s="21"/>
      <c r="O345" s="21">
        <v>1</v>
      </c>
      <c r="P345" s="21" t="s">
        <v>68</v>
      </c>
      <c r="Q345" s="50">
        <v>11.93</v>
      </c>
      <c r="R345" s="56">
        <v>0.39479999999999998</v>
      </c>
      <c r="T345" s="21">
        <v>1</v>
      </c>
      <c r="U345" s="56" t="s">
        <v>98</v>
      </c>
      <c r="V345" s="21">
        <v>6.32</v>
      </c>
      <c r="W345" s="57">
        <v>0.73980000000000001</v>
      </c>
      <c r="Z345" s="47"/>
      <c r="AA345" s="21"/>
      <c r="AB345" s="21"/>
      <c r="AC345" s="9"/>
      <c r="AD345" s="21"/>
      <c r="AE345" s="55"/>
      <c r="AF345" s="55"/>
    </row>
    <row r="346" spans="2:32" ht="14" customHeight="1" x14ac:dyDescent="0.25">
      <c r="B346" s="21">
        <v>2</v>
      </c>
      <c r="C346" s="21" t="s">
        <v>69</v>
      </c>
      <c r="D346" s="50">
        <v>8.8800000000000008</v>
      </c>
      <c r="E346" s="16">
        <v>0.22900000000000001</v>
      </c>
      <c r="F346" s="55"/>
      <c r="G346" s="55"/>
      <c r="I346" s="21">
        <v>2</v>
      </c>
      <c r="J346" s="21" t="s">
        <v>69</v>
      </c>
      <c r="K346" s="50">
        <v>8.8800000000000008</v>
      </c>
      <c r="L346" s="16">
        <v>0.22900000000000001</v>
      </c>
      <c r="M346" s="55"/>
      <c r="O346" s="21">
        <v>2</v>
      </c>
      <c r="P346" s="57" t="s">
        <v>69</v>
      </c>
      <c r="Q346" s="58">
        <v>8.8699999999999992</v>
      </c>
      <c r="R346" s="53">
        <v>0.29360000000000003</v>
      </c>
      <c r="T346" s="21">
        <v>2</v>
      </c>
      <c r="U346" s="56" t="s">
        <v>100</v>
      </c>
      <c r="V346" s="21">
        <v>1.0900000000000001</v>
      </c>
      <c r="W346" s="54">
        <v>0.12790000000000001</v>
      </c>
      <c r="Z346" s="47"/>
      <c r="AA346" s="21"/>
      <c r="AB346" s="21"/>
      <c r="AC346" s="50"/>
      <c r="AD346" s="16"/>
      <c r="AE346" s="55"/>
      <c r="AF346" s="55"/>
    </row>
    <row r="347" spans="2:32" ht="14" customHeight="1" x14ac:dyDescent="0.25">
      <c r="B347" s="21">
        <v>3</v>
      </c>
      <c r="C347" s="21" t="s">
        <v>71</v>
      </c>
      <c r="D347" s="50">
        <v>2.42</v>
      </c>
      <c r="E347" s="16">
        <v>6.2300000000000001E-2</v>
      </c>
      <c r="F347" s="55"/>
      <c r="G347" s="55"/>
      <c r="I347" s="21">
        <v>3</v>
      </c>
      <c r="J347" s="21" t="s">
        <v>71</v>
      </c>
      <c r="K347" s="50">
        <v>2.42</v>
      </c>
      <c r="L347" s="16">
        <v>6.2300000000000001E-2</v>
      </c>
      <c r="M347" s="55"/>
      <c r="O347" s="21">
        <v>3</v>
      </c>
      <c r="P347" s="57" t="s">
        <v>70</v>
      </c>
      <c r="Q347" s="59">
        <v>1.83</v>
      </c>
      <c r="R347" s="53">
        <v>6.0400000000000002E-2</v>
      </c>
      <c r="T347" s="21">
        <v>3</v>
      </c>
      <c r="U347" s="56" t="s">
        <v>104</v>
      </c>
      <c r="V347" s="21">
        <v>0.47</v>
      </c>
      <c r="W347" s="54">
        <v>5.4899999999999997E-2</v>
      </c>
      <c r="Z347" s="47"/>
      <c r="AA347" s="21"/>
      <c r="AB347" s="21"/>
      <c r="AC347" s="50"/>
      <c r="AD347" s="16"/>
      <c r="AE347" s="55"/>
      <c r="AF347" s="55"/>
    </row>
    <row r="348" spans="2:32" ht="14" customHeight="1" x14ac:dyDescent="0.25">
      <c r="B348" s="21">
        <v>4</v>
      </c>
      <c r="C348" s="21" t="s">
        <v>70</v>
      </c>
      <c r="D348" s="50">
        <v>1.9</v>
      </c>
      <c r="E348" s="16">
        <v>4.9000000000000002E-2</v>
      </c>
      <c r="F348" s="55"/>
      <c r="G348" s="55"/>
      <c r="I348" s="21">
        <v>4</v>
      </c>
      <c r="J348" s="21" t="s">
        <v>70</v>
      </c>
      <c r="K348" s="50">
        <v>1.9</v>
      </c>
      <c r="L348" s="16">
        <v>4.9000000000000002E-2</v>
      </c>
      <c r="M348" s="55"/>
      <c r="O348" s="21">
        <v>4</v>
      </c>
      <c r="P348" s="57" t="s">
        <v>73</v>
      </c>
      <c r="Q348" s="58">
        <v>1.37</v>
      </c>
      <c r="R348" s="53">
        <v>4.5199999999999997E-2</v>
      </c>
      <c r="T348" s="21">
        <v>4</v>
      </c>
      <c r="U348" s="21" t="s">
        <v>73</v>
      </c>
      <c r="V348" s="21">
        <v>0.17</v>
      </c>
      <c r="W348" s="54">
        <v>1.9599999999999999E-2</v>
      </c>
      <c r="Z348" s="47"/>
      <c r="AA348" s="21"/>
      <c r="AB348" s="21"/>
      <c r="AC348" s="50"/>
      <c r="AD348" s="16"/>
      <c r="AE348" s="55"/>
      <c r="AF348" s="55"/>
    </row>
    <row r="349" spans="2:32" ht="14" customHeight="1" x14ac:dyDescent="0.25">
      <c r="B349" s="21">
        <v>5</v>
      </c>
      <c r="C349" s="21" t="s">
        <v>74</v>
      </c>
      <c r="D349" s="50">
        <v>1.7</v>
      </c>
      <c r="E349" s="16">
        <v>4.3999999999999997E-2</v>
      </c>
      <c r="F349" s="55"/>
      <c r="G349" s="55"/>
      <c r="I349" s="21">
        <v>5</v>
      </c>
      <c r="J349" s="21" t="s">
        <v>74</v>
      </c>
      <c r="K349" s="50">
        <v>1.7</v>
      </c>
      <c r="L349" s="16">
        <v>4.3999999999999997E-2</v>
      </c>
      <c r="M349" s="55"/>
      <c r="O349" s="21">
        <v>5</v>
      </c>
      <c r="P349" s="57" t="s">
        <v>71</v>
      </c>
      <c r="Q349" s="59">
        <v>1.32</v>
      </c>
      <c r="R349" s="53">
        <v>4.3799999999999999E-2</v>
      </c>
      <c r="T349" s="21">
        <v>5</v>
      </c>
      <c r="U349" s="21" t="s">
        <v>129</v>
      </c>
      <c r="V349" s="21">
        <v>0.17</v>
      </c>
      <c r="W349" s="54">
        <v>1.95E-2</v>
      </c>
      <c r="Z349" s="47"/>
      <c r="AA349" s="21"/>
      <c r="AB349" s="21"/>
      <c r="AC349" s="50"/>
      <c r="AD349" s="16"/>
      <c r="AE349" s="55"/>
      <c r="AF349" s="55"/>
    </row>
    <row r="350" spans="2:32" ht="14" customHeight="1" x14ac:dyDescent="0.25">
      <c r="B350" s="21">
        <v>6</v>
      </c>
      <c r="C350" s="21" t="s">
        <v>73</v>
      </c>
      <c r="D350" s="50">
        <v>1.53</v>
      </c>
      <c r="E350" s="16">
        <v>3.95E-2</v>
      </c>
      <c r="F350" s="55"/>
      <c r="G350" s="55"/>
      <c r="I350" s="21">
        <v>6</v>
      </c>
      <c r="J350" s="21" t="s">
        <v>73</v>
      </c>
      <c r="K350" s="50">
        <v>1.53</v>
      </c>
      <c r="L350" s="16">
        <v>3.95E-2</v>
      </c>
      <c r="M350" s="55"/>
      <c r="O350" s="21">
        <v>6</v>
      </c>
      <c r="P350" s="57" t="s">
        <v>74</v>
      </c>
      <c r="Q350" s="59">
        <v>1.23</v>
      </c>
      <c r="R350" s="53">
        <v>4.0899999999999999E-2</v>
      </c>
      <c r="T350" s="21">
        <v>6</v>
      </c>
      <c r="U350" s="56" t="s">
        <v>185</v>
      </c>
      <c r="V350" s="21">
        <v>0.16</v>
      </c>
      <c r="W350" s="54">
        <v>1.8100000000000002E-2</v>
      </c>
      <c r="Z350" s="47"/>
      <c r="AD350" s="227"/>
      <c r="AF350" s="47"/>
    </row>
    <row r="351" spans="2:32" ht="14" customHeight="1" x14ac:dyDescent="0.25">
      <c r="B351" s="21">
        <v>7</v>
      </c>
      <c r="C351" s="21" t="s">
        <v>322</v>
      </c>
      <c r="D351" s="50">
        <v>0.78</v>
      </c>
      <c r="E351" s="16">
        <v>2.0199999999999999E-2</v>
      </c>
      <c r="F351" s="55"/>
      <c r="G351" s="55"/>
      <c r="I351" s="21">
        <v>7</v>
      </c>
      <c r="J351" s="21" t="s">
        <v>322</v>
      </c>
      <c r="K351" s="50">
        <v>0.78</v>
      </c>
      <c r="L351" s="16">
        <v>2.0199999999999999E-2</v>
      </c>
      <c r="M351" s="55"/>
      <c r="O351" s="21">
        <v>7</v>
      </c>
      <c r="P351" s="57" t="s">
        <v>322</v>
      </c>
      <c r="Q351" s="59">
        <v>0.78</v>
      </c>
      <c r="R351" s="53">
        <v>2.5899999999999999E-2</v>
      </c>
      <c r="T351" s="21">
        <v>7</v>
      </c>
      <c r="U351" s="56" t="s">
        <v>101</v>
      </c>
      <c r="V351" s="21">
        <v>7.0000000000000007E-2</v>
      </c>
      <c r="W351" s="54">
        <v>8.5000000000000006E-3</v>
      </c>
      <c r="Z351" s="47"/>
      <c r="AD351" s="227"/>
      <c r="AF351" s="47"/>
    </row>
    <row r="352" spans="2:32" ht="14" customHeight="1" x14ac:dyDescent="0.25">
      <c r="B352" s="21">
        <v>8</v>
      </c>
      <c r="C352" s="21" t="s">
        <v>129</v>
      </c>
      <c r="D352" s="50">
        <v>0.77</v>
      </c>
      <c r="E352" s="16">
        <v>1.9900000000000001E-2</v>
      </c>
      <c r="F352" s="55"/>
      <c r="G352" s="55"/>
      <c r="I352" s="21">
        <v>8</v>
      </c>
      <c r="J352" s="21" t="s">
        <v>129</v>
      </c>
      <c r="K352" s="50">
        <v>0.77</v>
      </c>
      <c r="L352" s="16">
        <v>1.9900000000000001E-2</v>
      </c>
      <c r="M352" s="55"/>
      <c r="O352" s="21">
        <v>8</v>
      </c>
      <c r="P352" s="57" t="s">
        <v>129</v>
      </c>
      <c r="Q352" s="58">
        <v>0.6</v>
      </c>
      <c r="R352" s="53">
        <v>0.02</v>
      </c>
      <c r="T352" s="21">
        <v>8</v>
      </c>
      <c r="U352" s="56" t="s">
        <v>172</v>
      </c>
      <c r="V352" s="49">
        <v>0.06</v>
      </c>
      <c r="W352" s="54">
        <v>6.7999999999999996E-3</v>
      </c>
      <c r="Z352" s="47"/>
      <c r="AD352" s="227"/>
      <c r="AF352" s="47"/>
    </row>
    <row r="353" spans="1:32" ht="14" customHeight="1" x14ac:dyDescent="0.25">
      <c r="B353" s="21">
        <v>9</v>
      </c>
      <c r="C353" s="21" t="s">
        <v>397</v>
      </c>
      <c r="D353" s="50">
        <v>0.57999999999999996</v>
      </c>
      <c r="E353" s="16">
        <v>1.4999999999999999E-2</v>
      </c>
      <c r="F353" s="55"/>
      <c r="G353" s="55"/>
      <c r="I353" s="21">
        <v>9</v>
      </c>
      <c r="J353" s="21" t="s">
        <v>397</v>
      </c>
      <c r="K353" s="50">
        <v>0.57999999999999996</v>
      </c>
      <c r="L353" s="16">
        <v>1.4999999999999999E-2</v>
      </c>
      <c r="M353" s="55"/>
      <c r="O353" s="21">
        <v>9</v>
      </c>
      <c r="P353" s="57" t="s">
        <v>397</v>
      </c>
      <c r="Q353" s="58">
        <v>0.57999999999999996</v>
      </c>
      <c r="R353" s="53">
        <v>1.9300000000000001E-2</v>
      </c>
      <c r="T353" s="21">
        <v>9</v>
      </c>
      <c r="U353" s="56" t="s">
        <v>431</v>
      </c>
      <c r="V353" s="21">
        <v>0.03</v>
      </c>
      <c r="W353" s="54">
        <v>3.2000000000000002E-3</v>
      </c>
      <c r="Z353" s="47"/>
      <c r="AD353" s="227"/>
      <c r="AF353" s="47"/>
    </row>
    <row r="354" spans="1:32" ht="14" customHeight="1" x14ac:dyDescent="0.25">
      <c r="B354" s="21">
        <v>10</v>
      </c>
      <c r="C354" s="21" t="s">
        <v>323</v>
      </c>
      <c r="D354" s="50">
        <v>0.41</v>
      </c>
      <c r="E354" s="16">
        <v>1.06E-2</v>
      </c>
      <c r="F354" s="55"/>
      <c r="G354" s="55"/>
      <c r="I354" s="21">
        <v>10</v>
      </c>
      <c r="J354" s="21" t="s">
        <v>323</v>
      </c>
      <c r="K354" s="50">
        <v>0.41</v>
      </c>
      <c r="L354" s="16">
        <v>1.06E-2</v>
      </c>
      <c r="M354" s="55"/>
      <c r="O354" s="21">
        <v>10</v>
      </c>
      <c r="P354" s="57" t="s">
        <v>323</v>
      </c>
      <c r="Q354" s="58">
        <v>0.38</v>
      </c>
      <c r="R354" s="53">
        <v>1.2699999999999999E-2</v>
      </c>
      <c r="T354" s="21">
        <v>10</v>
      </c>
      <c r="U354" s="56" t="s">
        <v>355</v>
      </c>
      <c r="V354" s="21">
        <v>0.01</v>
      </c>
      <c r="W354" s="54">
        <v>1E-3</v>
      </c>
      <c r="Z354" s="47"/>
      <c r="AD354" s="227"/>
      <c r="AF354" s="47"/>
    </row>
    <row r="355" spans="1:32" ht="14" customHeight="1" x14ac:dyDescent="0.25">
      <c r="B355" s="21">
        <v>11</v>
      </c>
      <c r="C355" s="21" t="s">
        <v>326</v>
      </c>
      <c r="D355" s="50">
        <v>0.31</v>
      </c>
      <c r="E355" s="16">
        <v>7.9000000000000008E-3</v>
      </c>
      <c r="F355" s="55"/>
      <c r="G355" s="55"/>
      <c r="I355" s="21">
        <v>11</v>
      </c>
      <c r="J355" s="21" t="s">
        <v>326</v>
      </c>
      <c r="K355" s="50">
        <v>0.31</v>
      </c>
      <c r="L355" s="16">
        <v>7.9000000000000008E-3</v>
      </c>
      <c r="M355" s="55"/>
      <c r="O355" s="21">
        <v>11</v>
      </c>
      <c r="P355" s="57" t="s">
        <v>326</v>
      </c>
      <c r="Q355" s="58">
        <v>0.31</v>
      </c>
      <c r="R355" s="53">
        <v>1.0200000000000001E-2</v>
      </c>
      <c r="T355" s="21">
        <v>11</v>
      </c>
      <c r="U355" s="56" t="s">
        <v>99</v>
      </c>
      <c r="V355" s="49">
        <v>0.01</v>
      </c>
      <c r="W355" s="54">
        <v>6.9999999999999999E-4</v>
      </c>
      <c r="Z355" s="47"/>
      <c r="AD355" s="227"/>
      <c r="AF355" s="47"/>
    </row>
    <row r="356" spans="1:32" ht="14" customHeight="1" x14ac:dyDescent="0.25">
      <c r="B356" s="21">
        <v>12</v>
      </c>
      <c r="C356" s="21" t="s">
        <v>348</v>
      </c>
      <c r="D356" s="50">
        <v>0.27</v>
      </c>
      <c r="E356" s="16">
        <v>6.8999999999999999E-3</v>
      </c>
      <c r="F356" s="55"/>
      <c r="G356" s="55"/>
      <c r="I356" s="21">
        <v>12</v>
      </c>
      <c r="J356" s="21" t="s">
        <v>348</v>
      </c>
      <c r="K356" s="50">
        <v>0.27</v>
      </c>
      <c r="L356" s="16">
        <v>6.8999999999999999E-3</v>
      </c>
      <c r="M356" s="55"/>
      <c r="O356" s="21">
        <v>12</v>
      </c>
      <c r="P356" s="57" t="s">
        <v>348</v>
      </c>
      <c r="Q356" s="59">
        <v>0.27</v>
      </c>
      <c r="R356" s="53">
        <v>8.8999999999999999E-3</v>
      </c>
      <c r="T356" s="21">
        <v>12</v>
      </c>
      <c r="U356" s="56" t="s">
        <v>356</v>
      </c>
      <c r="V356" s="49">
        <v>0</v>
      </c>
      <c r="W356" s="54">
        <v>0</v>
      </c>
      <c r="Z356" s="47"/>
      <c r="AD356" s="227"/>
      <c r="AF356" s="47"/>
    </row>
    <row r="357" spans="1:32" ht="14" customHeight="1" x14ac:dyDescent="0.25">
      <c r="B357" s="21">
        <v>13</v>
      </c>
      <c r="C357" s="21" t="s">
        <v>418</v>
      </c>
      <c r="D357" s="50">
        <v>0.22</v>
      </c>
      <c r="E357" s="16">
        <v>5.5999999999999999E-3</v>
      </c>
      <c r="F357" s="55"/>
      <c r="G357" s="55"/>
      <c r="I357" s="21">
        <v>13</v>
      </c>
      <c r="J357" s="21" t="s">
        <v>418</v>
      </c>
      <c r="K357" s="50">
        <v>0.22</v>
      </c>
      <c r="L357" s="16">
        <v>5.5999999999999999E-3</v>
      </c>
      <c r="M357" s="55"/>
      <c r="O357" s="21">
        <v>13</v>
      </c>
      <c r="P357" s="57" t="s">
        <v>418</v>
      </c>
      <c r="Q357" s="58">
        <v>0.22</v>
      </c>
      <c r="R357" s="53">
        <v>7.1999999999999998E-3</v>
      </c>
      <c r="U357" s="21" t="s">
        <v>77</v>
      </c>
      <c r="V357" s="49">
        <v>0</v>
      </c>
      <c r="W357" s="54">
        <v>0</v>
      </c>
      <c r="Z357" s="47"/>
      <c r="AD357" s="227"/>
      <c r="AF357" s="47"/>
    </row>
    <row r="358" spans="1:32" ht="14" customHeight="1" x14ac:dyDescent="0.25">
      <c r="B358" s="21">
        <v>14</v>
      </c>
      <c r="C358" s="21" t="s">
        <v>357</v>
      </c>
      <c r="D358" s="50">
        <v>0.19</v>
      </c>
      <c r="E358" s="16">
        <v>4.7999999999999996E-3</v>
      </c>
      <c r="F358" s="55"/>
      <c r="G358" s="55"/>
      <c r="I358" s="21">
        <v>14</v>
      </c>
      <c r="J358" s="21" t="s">
        <v>357</v>
      </c>
      <c r="K358" s="50">
        <v>0.19</v>
      </c>
      <c r="L358" s="16">
        <v>4.7999999999999996E-3</v>
      </c>
      <c r="M358" s="55"/>
      <c r="O358" s="21">
        <v>14</v>
      </c>
      <c r="P358" s="57" t="s">
        <v>427</v>
      </c>
      <c r="Q358" s="59">
        <v>0.1</v>
      </c>
      <c r="R358" s="53">
        <v>3.3E-3</v>
      </c>
      <c r="U358" s="21" t="s">
        <v>78</v>
      </c>
      <c r="V358" s="57">
        <f>SUM(V345:V357)</f>
        <v>8.56</v>
      </c>
      <c r="W358" s="54">
        <v>1</v>
      </c>
      <c r="Z358" s="47"/>
      <c r="AD358" s="227"/>
      <c r="AF358" s="47"/>
    </row>
    <row r="359" spans="1:32" ht="14" customHeight="1" x14ac:dyDescent="0.25">
      <c r="B359" s="21">
        <v>15</v>
      </c>
      <c r="C359" s="21" t="s">
        <v>427</v>
      </c>
      <c r="D359" s="50">
        <v>0.1</v>
      </c>
      <c r="E359" s="16">
        <v>2.5999999999999999E-3</v>
      </c>
      <c r="F359" s="55"/>
      <c r="G359" s="55"/>
      <c r="I359" s="21">
        <v>15</v>
      </c>
      <c r="J359" s="21" t="s">
        <v>427</v>
      </c>
      <c r="K359" s="50">
        <v>0.1</v>
      </c>
      <c r="L359" s="16">
        <v>2.5999999999999999E-3</v>
      </c>
      <c r="M359" s="55"/>
      <c r="O359" s="21">
        <v>15</v>
      </c>
      <c r="P359" s="57" t="s">
        <v>343</v>
      </c>
      <c r="Q359" s="59">
        <v>0.09</v>
      </c>
      <c r="R359" s="53">
        <v>2.8E-3</v>
      </c>
      <c r="W359" s="229"/>
      <c r="Z359" s="47"/>
      <c r="AD359" s="227"/>
      <c r="AF359" s="47"/>
    </row>
    <row r="360" spans="1:32" ht="14" customHeight="1" x14ac:dyDescent="0.25">
      <c r="B360" s="21"/>
      <c r="C360" s="21" t="s">
        <v>77</v>
      </c>
      <c r="D360" s="15">
        <v>0.46</v>
      </c>
      <c r="E360" s="16">
        <f>1-SUM(E345:E359)</f>
        <v>1.1899999999999689E-2</v>
      </c>
      <c r="F360" s="55"/>
      <c r="G360" s="55"/>
      <c r="I360" s="21"/>
      <c r="J360" s="21" t="s">
        <v>77</v>
      </c>
      <c r="K360" s="15">
        <v>0.46</v>
      </c>
      <c r="L360" s="16">
        <f>1-SUM(L345:L359)</f>
        <v>1.1899999999999689E-2</v>
      </c>
      <c r="O360" s="227"/>
      <c r="P360" s="21" t="s">
        <v>77</v>
      </c>
      <c r="Q360" s="62">
        <v>0.33233569261880502</v>
      </c>
      <c r="R360" s="16">
        <v>1.09999999999999E-2</v>
      </c>
      <c r="T360" s="228"/>
      <c r="Z360" s="47"/>
      <c r="AD360" s="227"/>
      <c r="AF360" s="47"/>
    </row>
    <row r="361" spans="1:32" ht="14" customHeight="1" x14ac:dyDescent="0.25">
      <c r="B361" s="21"/>
      <c r="C361" s="21" t="s">
        <v>78</v>
      </c>
      <c r="D361" s="15">
        <v>38.770000000000003</v>
      </c>
      <c r="E361" s="16">
        <v>1</v>
      </c>
      <c r="F361" s="55"/>
      <c r="G361" s="55"/>
      <c r="I361" s="21"/>
      <c r="J361" s="21" t="s">
        <v>78</v>
      </c>
      <c r="K361" s="15">
        <v>38.770000000000003</v>
      </c>
      <c r="L361" s="16">
        <v>1</v>
      </c>
      <c r="O361" s="227"/>
      <c r="P361" s="21" t="s">
        <v>78</v>
      </c>
      <c r="Q361" s="62">
        <v>30.212335692618801</v>
      </c>
      <c r="R361" s="16">
        <v>1</v>
      </c>
      <c r="S361" s="228"/>
      <c r="T361" s="228"/>
      <c r="X361" s="228"/>
      <c r="Z361" s="47"/>
      <c r="AD361" s="227"/>
      <c r="AF361" s="47"/>
    </row>
    <row r="362" spans="1:32" ht="14" customHeight="1" x14ac:dyDescent="0.25">
      <c r="D362" s="43"/>
      <c r="G362" s="17"/>
      <c r="J362" s="43"/>
      <c r="O362" s="227"/>
      <c r="Q362" s="229"/>
      <c r="R362" s="228"/>
      <c r="T362" s="228"/>
      <c r="X362" s="227"/>
      <c r="Z362" s="47"/>
      <c r="AD362" s="227"/>
      <c r="AF362" s="47"/>
    </row>
    <row r="363" spans="1:32" ht="14" customHeight="1" x14ac:dyDescent="0.25">
      <c r="B363" s="15" t="s">
        <v>432</v>
      </c>
      <c r="C363" s="21"/>
      <c r="D363" s="50"/>
      <c r="E363" s="16"/>
      <c r="F363" s="52"/>
      <c r="G363" s="55"/>
      <c r="I363" s="15" t="s">
        <v>433</v>
      </c>
      <c r="O363" s="25" t="s">
        <v>434</v>
      </c>
      <c r="T363" s="25" t="s">
        <v>435</v>
      </c>
      <c r="Z363" s="47"/>
      <c r="AA363" s="25"/>
      <c r="AB363" s="15"/>
      <c r="AC363" s="15"/>
      <c r="AD363" s="15"/>
      <c r="AE363" s="15"/>
      <c r="AF363" s="15"/>
    </row>
    <row r="364" spans="1:32" ht="14" customHeight="1" x14ac:dyDescent="0.25">
      <c r="B364" s="21" t="s">
        <v>334</v>
      </c>
      <c r="C364" s="21" t="s">
        <v>335</v>
      </c>
      <c r="D364" s="9" t="s">
        <v>436</v>
      </c>
      <c r="E364" s="21" t="s">
        <v>337</v>
      </c>
      <c r="F364" s="21" t="s">
        <v>423</v>
      </c>
      <c r="G364" s="21" t="s">
        <v>424</v>
      </c>
      <c r="I364" s="21" t="s">
        <v>334</v>
      </c>
      <c r="J364" s="21" t="s">
        <v>335</v>
      </c>
      <c r="K364" s="9" t="s">
        <v>437</v>
      </c>
      <c r="L364" s="21" t="s">
        <v>337</v>
      </c>
      <c r="M364" s="21" t="s">
        <v>423</v>
      </c>
      <c r="O364" s="21" t="s">
        <v>334</v>
      </c>
      <c r="P364" s="21" t="s">
        <v>335</v>
      </c>
      <c r="Q364" s="50" t="s">
        <v>438</v>
      </c>
      <c r="R364" s="56" t="s">
        <v>384</v>
      </c>
      <c r="S364" s="21"/>
      <c r="T364" s="21" t="s">
        <v>334</v>
      </c>
      <c r="U364" s="56" t="s">
        <v>381</v>
      </c>
      <c r="V364" s="21" t="s">
        <v>438</v>
      </c>
      <c r="W364" s="57" t="s">
        <v>337</v>
      </c>
      <c r="X364" s="21"/>
      <c r="Z364" s="47"/>
      <c r="AA364" s="21"/>
      <c r="AB364" s="21"/>
      <c r="AC364" s="9"/>
      <c r="AD364" s="21"/>
      <c r="AE364" s="21"/>
      <c r="AF364" s="21"/>
    </row>
    <row r="365" spans="1:32" ht="14" customHeight="1" x14ac:dyDescent="0.25">
      <c r="A365" s="186"/>
      <c r="B365" s="21">
        <v>1</v>
      </c>
      <c r="C365" s="21" t="s">
        <v>68</v>
      </c>
      <c r="D365" s="50">
        <v>34.29</v>
      </c>
      <c r="E365" s="16">
        <f>D365/$D$381</f>
        <v>0.4547745358090185</v>
      </c>
      <c r="F365" s="55">
        <f>D365/D605-1</f>
        <v>0.60834896810506556</v>
      </c>
      <c r="G365" s="55">
        <f t="shared" ref="G365:G370" si="0">D365/D385-1</f>
        <v>0.19477351916376318</v>
      </c>
      <c r="H365" s="21"/>
      <c r="I365" s="15">
        <v>1</v>
      </c>
      <c r="J365" s="21" t="s">
        <v>68</v>
      </c>
      <c r="K365" s="57">
        <v>246.01</v>
      </c>
      <c r="L365" s="56">
        <f t="shared" ref="L365:L381" si="1">K365/$K$381</f>
        <v>0.44859591539022614</v>
      </c>
      <c r="M365" s="16">
        <f>K365/K605-1</f>
        <v>0.47223219628964697</v>
      </c>
      <c r="O365" s="21">
        <v>1</v>
      </c>
      <c r="P365" s="57" t="s">
        <v>68</v>
      </c>
      <c r="Q365" s="58">
        <v>24.54</v>
      </c>
      <c r="R365" s="53">
        <f t="shared" ref="R365:R381" si="2">Q365/$Q$381</f>
        <v>0.40229508196721309</v>
      </c>
      <c r="T365" s="21">
        <v>1</v>
      </c>
      <c r="U365" s="56" t="s">
        <v>98</v>
      </c>
      <c r="V365" s="21">
        <v>9.75</v>
      </c>
      <c r="W365" s="54">
        <f t="shared" ref="W365:W381" si="3">V365/$V$381</f>
        <v>0.68181818181818177</v>
      </c>
      <c r="Z365" s="47"/>
      <c r="AA365" s="21"/>
      <c r="AB365" s="21"/>
      <c r="AC365" s="50"/>
      <c r="AD365" s="16"/>
      <c r="AE365" s="55"/>
      <c r="AF365" s="55"/>
    </row>
    <row r="366" spans="1:32" ht="14" customHeight="1" x14ac:dyDescent="0.25">
      <c r="A366" s="186"/>
      <c r="B366" s="21">
        <v>2</v>
      </c>
      <c r="C366" s="21" t="s">
        <v>69</v>
      </c>
      <c r="D366" s="50">
        <v>17.489999999999998</v>
      </c>
      <c r="E366" s="16">
        <f t="shared" ref="E366:E381" si="4">D366/$D$381</f>
        <v>0.23196286472148536</v>
      </c>
      <c r="F366" s="55">
        <f>D366/D606-1</f>
        <v>0.58999999999999986</v>
      </c>
      <c r="G366" s="55">
        <f t="shared" si="0"/>
        <v>3.6751630112625833E-2</v>
      </c>
      <c r="H366" s="21"/>
      <c r="I366" s="15">
        <v>2</v>
      </c>
      <c r="J366" s="21" t="s">
        <v>69</v>
      </c>
      <c r="K366" s="57">
        <v>135.02000000000001</v>
      </c>
      <c r="L366" s="56">
        <f t="shared" si="1"/>
        <v>0.24620714806710434</v>
      </c>
      <c r="M366" s="16">
        <f>K366/K606-1</f>
        <v>0.28005309063329542</v>
      </c>
      <c r="O366" s="21">
        <v>2</v>
      </c>
      <c r="P366" s="57" t="s">
        <v>69</v>
      </c>
      <c r="Q366" s="59">
        <v>17.48</v>
      </c>
      <c r="R366" s="53">
        <f t="shared" si="2"/>
        <v>0.28655737704918033</v>
      </c>
      <c r="T366" s="21">
        <v>2</v>
      </c>
      <c r="U366" s="56" t="s">
        <v>100</v>
      </c>
      <c r="V366" s="21">
        <v>1.56</v>
      </c>
      <c r="W366" s="54">
        <f t="shared" si="3"/>
        <v>0.10909090909090909</v>
      </c>
      <c r="AA366" s="21"/>
      <c r="AB366" s="21"/>
      <c r="AC366" s="50"/>
      <c r="AD366" s="16"/>
      <c r="AE366" s="55"/>
      <c r="AF366" s="55"/>
    </row>
    <row r="367" spans="1:32" ht="14" customHeight="1" x14ac:dyDescent="0.25">
      <c r="A367" s="186"/>
      <c r="B367" s="21">
        <v>3</v>
      </c>
      <c r="C367" s="21" t="s">
        <v>71</v>
      </c>
      <c r="D367" s="50">
        <v>4.2</v>
      </c>
      <c r="E367" s="16">
        <f t="shared" si="4"/>
        <v>5.5702917771883284E-2</v>
      </c>
      <c r="F367" s="55">
        <f>D367/D607-1</f>
        <v>0.37254901960784315</v>
      </c>
      <c r="G367" s="55">
        <f t="shared" si="0"/>
        <v>-6.25E-2</v>
      </c>
      <c r="H367" s="21"/>
      <c r="I367" s="15">
        <v>3</v>
      </c>
      <c r="J367" s="21" t="s">
        <v>71</v>
      </c>
      <c r="K367" s="57">
        <v>36.479999999999997</v>
      </c>
      <c r="L367" s="56">
        <f t="shared" si="1"/>
        <v>6.6520787746170679E-2</v>
      </c>
      <c r="M367" s="16">
        <f>K367/K607-1</f>
        <v>0.10881458966565338</v>
      </c>
      <c r="O367" s="21">
        <v>3</v>
      </c>
      <c r="P367" s="57" t="s">
        <v>70</v>
      </c>
      <c r="Q367" s="58">
        <v>3.89</v>
      </c>
      <c r="R367" s="53">
        <f t="shared" si="2"/>
        <v>6.3770491803278692E-2</v>
      </c>
      <c r="T367" s="21">
        <v>3</v>
      </c>
      <c r="U367" s="21" t="s">
        <v>439</v>
      </c>
      <c r="V367" s="21">
        <v>0.84</v>
      </c>
      <c r="W367" s="54">
        <f t="shared" si="3"/>
        <v>5.8741258741258739E-2</v>
      </c>
      <c r="Z367" s="47"/>
      <c r="AA367" s="21"/>
      <c r="AB367" s="21"/>
      <c r="AC367" s="50"/>
      <c r="AD367" s="16"/>
      <c r="AE367" s="55"/>
      <c r="AF367" s="55"/>
    </row>
    <row r="368" spans="1:32" ht="14" customHeight="1" x14ac:dyDescent="0.25">
      <c r="A368" s="186"/>
      <c r="B368" s="21">
        <v>4</v>
      </c>
      <c r="C368" s="21" t="s">
        <v>70</v>
      </c>
      <c r="D368" s="50">
        <v>4.1900000000000004</v>
      </c>
      <c r="E368" s="16">
        <f t="shared" si="4"/>
        <v>5.5570291777188328E-2</v>
      </c>
      <c r="F368" s="55">
        <f>D368/D609-1</f>
        <v>1.0742574257425743</v>
      </c>
      <c r="G368" s="55">
        <f t="shared" si="0"/>
        <v>0.17696629213483162</v>
      </c>
      <c r="H368" s="21"/>
      <c r="I368" s="15">
        <v>4</v>
      </c>
      <c r="J368" s="21" t="s">
        <v>70</v>
      </c>
      <c r="K368" s="57">
        <v>25.04</v>
      </c>
      <c r="L368" s="56">
        <f t="shared" si="1"/>
        <v>4.566010211524435E-2</v>
      </c>
      <c r="M368" s="16">
        <f>K368/K609-1</f>
        <v>0.57385292269013188</v>
      </c>
      <c r="O368" s="21">
        <v>4</v>
      </c>
      <c r="P368" s="57" t="s">
        <v>71</v>
      </c>
      <c r="Q368" s="59">
        <v>2.64</v>
      </c>
      <c r="R368" s="53">
        <f t="shared" si="2"/>
        <v>4.3278688524590166E-2</v>
      </c>
      <c r="T368" s="21">
        <v>4</v>
      </c>
      <c r="U368" s="21" t="s">
        <v>74</v>
      </c>
      <c r="V368" s="21">
        <v>0.73</v>
      </c>
      <c r="W368" s="54">
        <f t="shared" si="3"/>
        <v>5.1048951048951047E-2</v>
      </c>
      <c r="AA368" s="21"/>
      <c r="AB368" s="21"/>
      <c r="AC368" s="50"/>
      <c r="AD368" s="16"/>
      <c r="AE368" s="55"/>
      <c r="AF368" s="55"/>
    </row>
    <row r="369" spans="1:32" ht="14" customHeight="1" x14ac:dyDescent="0.25">
      <c r="A369" s="186"/>
      <c r="B369" s="21">
        <v>5</v>
      </c>
      <c r="C369" s="21" t="s">
        <v>74</v>
      </c>
      <c r="D369" s="50">
        <v>3.15</v>
      </c>
      <c r="E369" s="16">
        <f t="shared" si="4"/>
        <v>4.177718832891246E-2</v>
      </c>
      <c r="F369" s="55">
        <f>D369/D610-1</f>
        <v>1.0860927152317879</v>
      </c>
      <c r="G369" s="55">
        <f t="shared" si="0"/>
        <v>0.34615384615384626</v>
      </c>
      <c r="H369" s="21"/>
      <c r="I369" s="15">
        <v>5</v>
      </c>
      <c r="J369" s="21" t="s">
        <v>73</v>
      </c>
      <c r="K369" s="57">
        <v>18.7</v>
      </c>
      <c r="L369" s="56">
        <f t="shared" si="1"/>
        <v>3.4099197665937275E-2</v>
      </c>
      <c r="M369" s="16">
        <f>K369/K608-1</f>
        <v>8.3429895712630264E-2</v>
      </c>
      <c r="O369" s="21">
        <v>5</v>
      </c>
      <c r="P369" s="57" t="s">
        <v>73</v>
      </c>
      <c r="Q369" s="59">
        <v>2.5499999999999998</v>
      </c>
      <c r="R369" s="53">
        <f t="shared" si="2"/>
        <v>4.1803278688524584E-2</v>
      </c>
      <c r="T369" s="21">
        <v>5</v>
      </c>
      <c r="U369" s="56" t="s">
        <v>181</v>
      </c>
      <c r="V369" s="21">
        <v>0.33</v>
      </c>
      <c r="W369" s="54">
        <f t="shared" si="3"/>
        <v>2.3076923076923078E-2</v>
      </c>
      <c r="Z369" s="47"/>
      <c r="AA369" s="21"/>
      <c r="AB369" s="21"/>
      <c r="AC369" s="50"/>
      <c r="AD369" s="16"/>
      <c r="AE369" s="55"/>
      <c r="AF369" s="55"/>
    </row>
    <row r="370" spans="1:32" ht="14" customHeight="1" x14ac:dyDescent="0.25">
      <c r="A370" s="186"/>
      <c r="B370" s="21">
        <v>6</v>
      </c>
      <c r="C370" s="21" t="s">
        <v>73</v>
      </c>
      <c r="D370" s="50">
        <v>2.82</v>
      </c>
      <c r="E370" s="16">
        <f t="shared" si="4"/>
        <v>3.7400530503978777E-2</v>
      </c>
      <c r="F370" s="55">
        <f>D370/D608-1</f>
        <v>0.29953917050691237</v>
      </c>
      <c r="G370" s="55">
        <f t="shared" si="0"/>
        <v>0.37560975609756109</v>
      </c>
      <c r="H370" s="21"/>
      <c r="I370" s="15">
        <v>6</v>
      </c>
      <c r="J370" s="21" t="s">
        <v>74</v>
      </c>
      <c r="K370" s="57">
        <v>17.36</v>
      </c>
      <c r="L370" s="56">
        <f t="shared" si="1"/>
        <v>3.1655725747629468E-2</v>
      </c>
      <c r="M370" s="16"/>
      <c r="O370" s="21">
        <v>6</v>
      </c>
      <c r="P370" s="57" t="s">
        <v>74</v>
      </c>
      <c r="Q370" s="59">
        <v>2.41</v>
      </c>
      <c r="R370" s="53">
        <f t="shared" si="2"/>
        <v>3.9508196721311478E-2</v>
      </c>
      <c r="T370" s="21">
        <v>6</v>
      </c>
      <c r="U370" s="56" t="s">
        <v>185</v>
      </c>
      <c r="V370" s="21">
        <v>0.31</v>
      </c>
      <c r="W370" s="54">
        <f t="shared" si="3"/>
        <v>2.1678321678321677E-2</v>
      </c>
      <c r="AA370" s="21"/>
      <c r="AB370" s="21"/>
      <c r="AC370" s="50"/>
      <c r="AD370" s="16"/>
      <c r="AE370" s="50"/>
      <c r="AF370" s="50"/>
    </row>
    <row r="371" spans="1:32" ht="14" customHeight="1" x14ac:dyDescent="0.25">
      <c r="A371" s="186"/>
      <c r="B371" s="21">
        <v>7</v>
      </c>
      <c r="C371" s="21" t="s">
        <v>322</v>
      </c>
      <c r="D371" s="50">
        <v>1.91</v>
      </c>
      <c r="E371" s="16">
        <f t="shared" si="4"/>
        <v>2.5331564986737398E-2</v>
      </c>
      <c r="F371" s="55">
        <f>D371/D612-1</f>
        <v>0.6902654867256639</v>
      </c>
      <c r="G371" s="55">
        <f>D371/D392-1</f>
        <v>7.909604519774005E-2</v>
      </c>
      <c r="H371" s="21"/>
      <c r="I371" s="15">
        <v>7</v>
      </c>
      <c r="J371" s="21" t="s">
        <v>129</v>
      </c>
      <c r="K371" s="57">
        <v>15.79</v>
      </c>
      <c r="L371" s="56">
        <f t="shared" si="1"/>
        <v>2.8792851932895696E-2</v>
      </c>
      <c r="M371" s="16">
        <f>K371/K612-1</f>
        <v>0.90240963855421663</v>
      </c>
      <c r="O371" s="21">
        <v>7</v>
      </c>
      <c r="P371" s="57" t="s">
        <v>322</v>
      </c>
      <c r="Q371" s="58">
        <v>1.91</v>
      </c>
      <c r="R371" s="53">
        <f t="shared" si="2"/>
        <v>3.1311475409836066E-2</v>
      </c>
      <c r="T371" s="21">
        <v>7</v>
      </c>
      <c r="U371" s="56" t="s">
        <v>101</v>
      </c>
      <c r="V371" s="49">
        <v>0.28999999999999998</v>
      </c>
      <c r="W371" s="54">
        <f t="shared" si="3"/>
        <v>2.0279720279720276E-2</v>
      </c>
      <c r="Z371" s="47"/>
      <c r="AA371" s="21"/>
      <c r="AB371" s="21"/>
      <c r="AC371" s="50"/>
      <c r="AD371" s="16"/>
      <c r="AE371" s="52"/>
      <c r="AF371" s="55"/>
    </row>
    <row r="372" spans="1:32" ht="14" customHeight="1" x14ac:dyDescent="0.25">
      <c r="A372" s="186"/>
      <c r="B372" s="21">
        <v>8</v>
      </c>
      <c r="C372" s="21" t="s">
        <v>129</v>
      </c>
      <c r="D372" s="50">
        <v>1.7</v>
      </c>
      <c r="E372" s="16">
        <f t="shared" si="4"/>
        <v>2.2546419098143235E-2</v>
      </c>
      <c r="F372" s="55">
        <f>D372/D613-1</f>
        <v>0.60377358490566024</v>
      </c>
      <c r="G372" s="55">
        <f>D372/D391-1</f>
        <v>-4.49438202247191E-2</v>
      </c>
      <c r="H372" s="21"/>
      <c r="I372" s="15">
        <v>8</v>
      </c>
      <c r="J372" s="21" t="s">
        <v>322</v>
      </c>
      <c r="K372" s="57">
        <v>12.14</v>
      </c>
      <c r="L372" s="56">
        <f t="shared" si="1"/>
        <v>2.2137126185266229E-2</v>
      </c>
      <c r="M372" s="16">
        <f>K372/K615-1</f>
        <v>1.37109375</v>
      </c>
      <c r="O372" s="21">
        <v>8</v>
      </c>
      <c r="P372" s="57" t="s">
        <v>129</v>
      </c>
      <c r="Q372" s="58">
        <v>1.37</v>
      </c>
      <c r="R372" s="53">
        <f t="shared" si="2"/>
        <v>2.2459016393442624E-2</v>
      </c>
      <c r="T372" s="21">
        <v>8</v>
      </c>
      <c r="U372" s="56" t="s">
        <v>103</v>
      </c>
      <c r="V372" s="21">
        <v>0.28000000000000003</v>
      </c>
      <c r="W372" s="54">
        <f t="shared" si="3"/>
        <v>1.9580419580419582E-2</v>
      </c>
    </row>
    <row r="373" spans="1:32" ht="14" customHeight="1" x14ac:dyDescent="0.25">
      <c r="A373" s="186"/>
      <c r="B373" s="21">
        <v>9</v>
      </c>
      <c r="C373" s="21" t="s">
        <v>323</v>
      </c>
      <c r="D373" s="50">
        <v>1.06</v>
      </c>
      <c r="E373" s="16">
        <f t="shared" si="4"/>
        <v>1.4058355437665782E-2</v>
      </c>
      <c r="F373" s="55">
        <f>D373/D615-1</f>
        <v>0.13978494623655924</v>
      </c>
      <c r="G373" s="55">
        <f>D373/D393-1</f>
        <v>-0.13114754098360648</v>
      </c>
      <c r="I373" s="15">
        <v>9</v>
      </c>
      <c r="J373" s="15" t="s">
        <v>370</v>
      </c>
      <c r="K373" s="57">
        <v>9.85</v>
      </c>
      <c r="L373" s="56">
        <f t="shared" si="1"/>
        <v>1.7961342086068564E-2</v>
      </c>
      <c r="M373" s="16">
        <f>K373/K614-1</f>
        <v>0.82745825602968459</v>
      </c>
      <c r="O373" s="21">
        <v>9</v>
      </c>
      <c r="P373" s="57" t="s">
        <v>397</v>
      </c>
      <c r="Q373" s="58">
        <v>0.96</v>
      </c>
      <c r="R373" s="53">
        <f t="shared" si="2"/>
        <v>1.5737704918032787E-2</v>
      </c>
      <c r="T373" s="21">
        <v>9</v>
      </c>
      <c r="U373" s="56" t="s">
        <v>370</v>
      </c>
      <c r="V373" s="21">
        <v>0.18</v>
      </c>
      <c r="W373" s="54">
        <f t="shared" si="3"/>
        <v>1.2587412587412587E-2</v>
      </c>
      <c r="Z373" s="47"/>
      <c r="AD373" s="227"/>
      <c r="AF373" s="47"/>
    </row>
    <row r="374" spans="1:32" ht="14" customHeight="1" x14ac:dyDescent="0.25">
      <c r="A374" s="186"/>
      <c r="B374" s="21">
        <v>10</v>
      </c>
      <c r="C374" s="21" t="s">
        <v>397</v>
      </c>
      <c r="D374" s="50">
        <v>0.96</v>
      </c>
      <c r="E374" s="16">
        <f t="shared" si="4"/>
        <v>1.2732095490716178E-2</v>
      </c>
      <c r="F374" s="55">
        <f>D374/D618-1</f>
        <v>5.4</v>
      </c>
      <c r="G374" s="55">
        <f>D374/D395-1</f>
        <v>0.11627906976744184</v>
      </c>
      <c r="H374" s="21"/>
      <c r="I374" s="15">
        <v>10</v>
      </c>
      <c r="J374" s="21" t="s">
        <v>439</v>
      </c>
      <c r="K374" s="57">
        <v>7.66</v>
      </c>
      <c r="L374" s="56">
        <f t="shared" si="1"/>
        <v>1.3967906637490883E-2</v>
      </c>
      <c r="M374" s="16"/>
      <c r="O374" s="21">
        <v>10</v>
      </c>
      <c r="P374" s="57" t="s">
        <v>323</v>
      </c>
      <c r="Q374" s="58">
        <v>0.88</v>
      </c>
      <c r="R374" s="53">
        <f t="shared" si="2"/>
        <v>1.4426229508196721E-2</v>
      </c>
      <c r="T374" s="21">
        <v>10</v>
      </c>
      <c r="U374" s="56" t="s">
        <v>355</v>
      </c>
      <c r="V374" s="49">
        <v>0.05</v>
      </c>
      <c r="W374" s="54">
        <f t="shared" si="3"/>
        <v>3.4965034965034965E-3</v>
      </c>
    </row>
    <row r="375" spans="1:32" ht="14" customHeight="1" x14ac:dyDescent="0.25">
      <c r="A375" s="186"/>
      <c r="B375" s="21">
        <v>11</v>
      </c>
      <c r="C375" s="21" t="s">
        <v>439</v>
      </c>
      <c r="D375" s="50">
        <v>0.84</v>
      </c>
      <c r="E375" s="16">
        <f t="shared" si="4"/>
        <v>1.1140583554376656E-2</v>
      </c>
      <c r="F375" s="55"/>
      <c r="G375" s="55">
        <f>D375/D394-1</f>
        <v>-0.16000000000000003</v>
      </c>
      <c r="H375" s="21"/>
      <c r="I375" s="15">
        <v>11</v>
      </c>
      <c r="J375" s="21" t="s">
        <v>397</v>
      </c>
      <c r="K375" s="57">
        <v>6.27</v>
      </c>
      <c r="L375" s="56">
        <f t="shared" si="1"/>
        <v>1.1433260393873086E-2</v>
      </c>
      <c r="M375" s="16"/>
      <c r="O375" s="21">
        <v>11</v>
      </c>
      <c r="P375" s="57" t="s">
        <v>325</v>
      </c>
      <c r="Q375" s="59">
        <v>0.53</v>
      </c>
      <c r="R375" s="53">
        <f t="shared" si="2"/>
        <v>8.6885245901639346E-3</v>
      </c>
      <c r="T375" s="21">
        <v>11</v>
      </c>
      <c r="U375" s="56" t="s">
        <v>99</v>
      </c>
      <c r="V375" s="49">
        <v>0.01</v>
      </c>
      <c r="W375" s="54">
        <f t="shared" si="3"/>
        <v>6.993006993006993E-4</v>
      </c>
      <c r="Z375" s="47"/>
      <c r="AD375" s="227"/>
      <c r="AF375" s="47"/>
    </row>
    <row r="376" spans="1:32" ht="14" customHeight="1" x14ac:dyDescent="0.25">
      <c r="A376" s="186"/>
      <c r="B376" s="21">
        <v>12</v>
      </c>
      <c r="C376" s="21" t="s">
        <v>325</v>
      </c>
      <c r="D376" s="50">
        <v>0.53</v>
      </c>
      <c r="E376" s="16">
        <f t="shared" si="4"/>
        <v>7.0291777188328909E-3</v>
      </c>
      <c r="F376" s="55"/>
      <c r="G376" s="55">
        <f>D376/D396-1</f>
        <v>-5.3571428571428603E-2</v>
      </c>
      <c r="H376" s="21"/>
      <c r="I376" s="15">
        <v>12</v>
      </c>
      <c r="J376" s="21" t="s">
        <v>357</v>
      </c>
      <c r="K376" s="57">
        <v>3.44</v>
      </c>
      <c r="L376" s="56">
        <f t="shared" si="1"/>
        <v>6.2727935813274988E-3</v>
      </c>
      <c r="M376" s="16">
        <f>K376/K613-1</f>
        <v>-0.42087542087542096</v>
      </c>
      <c r="O376" s="21">
        <v>12</v>
      </c>
      <c r="P376" s="57" t="s">
        <v>326</v>
      </c>
      <c r="Q376" s="58">
        <v>0.46</v>
      </c>
      <c r="R376" s="53">
        <f t="shared" si="2"/>
        <v>7.5409836065573775E-3</v>
      </c>
      <c r="T376" s="21">
        <v>12</v>
      </c>
      <c r="U376" s="56" t="s">
        <v>356</v>
      </c>
      <c r="V376" s="49">
        <v>0</v>
      </c>
      <c r="W376" s="54">
        <f t="shared" si="3"/>
        <v>0</v>
      </c>
    </row>
    <row r="377" spans="1:32" ht="14" customHeight="1" x14ac:dyDescent="0.25">
      <c r="A377" s="186"/>
      <c r="B377" s="21">
        <v>13</v>
      </c>
      <c r="C377" s="21" t="s">
        <v>326</v>
      </c>
      <c r="D377" s="50">
        <v>0.46</v>
      </c>
      <c r="E377" s="16">
        <f t="shared" si="4"/>
        <v>6.1007957559681691E-3</v>
      </c>
      <c r="F377" s="55">
        <f>D377/D616-1</f>
        <v>-0.11538461538461542</v>
      </c>
      <c r="G377" s="55">
        <f>D377/D397-1</f>
        <v>2.2222222222222143E-2</v>
      </c>
      <c r="H377" s="56"/>
      <c r="I377" s="15">
        <v>13</v>
      </c>
      <c r="J377" s="21" t="s">
        <v>326</v>
      </c>
      <c r="K377" s="57">
        <v>3.08</v>
      </c>
      <c r="L377" s="56">
        <f t="shared" si="1"/>
        <v>5.616338439095551E-3</v>
      </c>
      <c r="M377" s="16">
        <f>K377/K616-1</f>
        <v>0.43925233644859807</v>
      </c>
      <c r="O377" s="21">
        <v>13</v>
      </c>
      <c r="P377" s="57" t="s">
        <v>418</v>
      </c>
      <c r="Q377" s="59">
        <v>0.38</v>
      </c>
      <c r="R377" s="53">
        <f t="shared" si="2"/>
        <v>6.2295081967213119E-3</v>
      </c>
      <c r="T377" s="21">
        <v>13</v>
      </c>
      <c r="U377" s="56" t="s">
        <v>440</v>
      </c>
      <c r="V377" s="49">
        <v>0</v>
      </c>
      <c r="W377" s="54">
        <f t="shared" si="3"/>
        <v>0</v>
      </c>
      <c r="Z377" s="47"/>
      <c r="AD377" s="227"/>
      <c r="AF377" s="47"/>
    </row>
    <row r="378" spans="1:32" ht="14" customHeight="1" x14ac:dyDescent="0.25">
      <c r="A378" s="186"/>
      <c r="B378" s="21">
        <v>14</v>
      </c>
      <c r="C378" s="21" t="s">
        <v>418</v>
      </c>
      <c r="D378" s="50">
        <v>0.38</v>
      </c>
      <c r="E378" s="16">
        <f t="shared" si="4"/>
        <v>5.0397877984084873E-3</v>
      </c>
      <c r="F378" s="55"/>
      <c r="G378" s="55">
        <f>D378/D399-1</f>
        <v>8.5714285714285854E-2</v>
      </c>
      <c r="H378" s="21"/>
      <c r="I378" s="15">
        <v>14</v>
      </c>
      <c r="J378" s="21" t="s">
        <v>325</v>
      </c>
      <c r="K378" s="57">
        <v>2.23</v>
      </c>
      <c r="L378" s="56">
        <f t="shared" si="1"/>
        <v>4.0663749088256746E-3</v>
      </c>
      <c r="M378" s="16"/>
      <c r="O378" s="21">
        <v>14</v>
      </c>
      <c r="P378" s="57" t="s">
        <v>348</v>
      </c>
      <c r="Q378" s="59">
        <v>0.32</v>
      </c>
      <c r="R378" s="53">
        <f t="shared" si="2"/>
        <v>5.2459016393442623E-3</v>
      </c>
      <c r="T378" s="21">
        <v>14</v>
      </c>
      <c r="U378" s="56" t="s">
        <v>392</v>
      </c>
      <c r="V378" s="49">
        <v>0</v>
      </c>
      <c r="W378" s="54">
        <f t="shared" si="3"/>
        <v>0</v>
      </c>
    </row>
    <row r="379" spans="1:32" ht="14" customHeight="1" x14ac:dyDescent="0.25">
      <c r="A379" s="186"/>
      <c r="B379" s="21">
        <v>15</v>
      </c>
      <c r="C379" s="21" t="s">
        <v>357</v>
      </c>
      <c r="D379" s="50">
        <v>0.36</v>
      </c>
      <c r="E379" s="16">
        <f t="shared" si="4"/>
        <v>4.7745358090185673E-3</v>
      </c>
      <c r="F379" s="55">
        <f>D379/D614-1</f>
        <v>-0.63636363636363635</v>
      </c>
      <c r="G379" s="55">
        <f>D379/D398-1</f>
        <v>-5.2631578947368474E-2</v>
      </c>
      <c r="H379" s="21"/>
      <c r="I379" s="15">
        <v>15</v>
      </c>
      <c r="J379" s="21" t="s">
        <v>418</v>
      </c>
      <c r="K379" s="57">
        <v>1.97</v>
      </c>
      <c r="L379" s="56">
        <f t="shared" si="1"/>
        <v>3.5922684172137128E-3</v>
      </c>
      <c r="M379" s="16"/>
      <c r="O379" s="21">
        <v>15</v>
      </c>
      <c r="P379" s="57" t="s">
        <v>408</v>
      </c>
      <c r="Q379" s="58">
        <v>0.17</v>
      </c>
      <c r="R379" s="53">
        <f t="shared" si="2"/>
        <v>2.7868852459016396E-3</v>
      </c>
      <c r="T379" s="21">
        <v>15</v>
      </c>
      <c r="U379" s="56" t="s">
        <v>441</v>
      </c>
      <c r="V379" s="49">
        <v>0</v>
      </c>
      <c r="W379" s="54">
        <f t="shared" si="3"/>
        <v>0</v>
      </c>
      <c r="Z379" s="47"/>
      <c r="AD379" s="227"/>
      <c r="AF379" s="47"/>
    </row>
    <row r="380" spans="1:32" ht="14" customHeight="1" x14ac:dyDescent="0.25">
      <c r="B380" s="21"/>
      <c r="C380" s="21" t="s">
        <v>77</v>
      </c>
      <c r="D380" s="50">
        <f>D381-SUM(D365:D379)</f>
        <v>1.0600000000000165</v>
      </c>
      <c r="E380" s="16">
        <f t="shared" si="4"/>
        <v>1.4058355437666E-2</v>
      </c>
      <c r="F380" s="55"/>
      <c r="G380" s="55"/>
      <c r="H380" s="50"/>
      <c r="I380" s="21"/>
      <c r="J380" s="21" t="s">
        <v>77</v>
      </c>
      <c r="K380" s="57">
        <f>K381-SUM(K365:K379)</f>
        <v>7.3599999999999</v>
      </c>
      <c r="L380" s="56">
        <f t="shared" si="1"/>
        <v>1.3420860685630745E-2</v>
      </c>
      <c r="M380" s="16"/>
      <c r="P380" s="21" t="s">
        <v>77</v>
      </c>
      <c r="Q380" s="50">
        <f>Q381-SUM(Q365:Q379)</f>
        <v>0.51000000000000512</v>
      </c>
      <c r="R380" s="53">
        <f t="shared" si="2"/>
        <v>8.3606557377050011E-3</v>
      </c>
      <c r="T380" s="56"/>
      <c r="U380" s="21" t="s">
        <v>77</v>
      </c>
      <c r="V380" s="49">
        <v>0</v>
      </c>
      <c r="W380" s="54">
        <f t="shared" si="3"/>
        <v>0</v>
      </c>
    </row>
    <row r="381" spans="1:32" ht="14" customHeight="1" x14ac:dyDescent="0.25">
      <c r="B381" s="21"/>
      <c r="C381" s="21" t="s">
        <v>78</v>
      </c>
      <c r="D381" s="50">
        <v>75.400000000000006</v>
      </c>
      <c r="E381" s="16">
        <f t="shared" si="4"/>
        <v>1</v>
      </c>
      <c r="F381" s="55">
        <v>0.57299999999999995</v>
      </c>
      <c r="G381" s="55">
        <v>0.122</v>
      </c>
      <c r="H381" s="50"/>
      <c r="I381" s="21"/>
      <c r="J381" s="21" t="s">
        <v>78</v>
      </c>
      <c r="K381" s="57">
        <v>548.4</v>
      </c>
      <c r="L381" s="56">
        <f t="shared" si="1"/>
        <v>1</v>
      </c>
      <c r="M381" s="16">
        <f>K381/K621-1</f>
        <v>0.41449574413206092</v>
      </c>
      <c r="P381" s="21" t="s">
        <v>78</v>
      </c>
      <c r="Q381" s="57">
        <v>61</v>
      </c>
      <c r="R381" s="53">
        <f t="shared" si="2"/>
        <v>1</v>
      </c>
      <c r="S381" s="228"/>
      <c r="U381" s="21" t="s">
        <v>78</v>
      </c>
      <c r="V381" s="57">
        <v>14.3</v>
      </c>
      <c r="W381" s="54">
        <f t="shared" si="3"/>
        <v>1</v>
      </c>
      <c r="X381" s="228"/>
      <c r="AC381" s="15"/>
      <c r="AD381" s="15"/>
      <c r="AE381" s="15"/>
      <c r="AF381" s="15"/>
    </row>
    <row r="382" spans="1:32" ht="14" customHeight="1" x14ac:dyDescent="0.25">
      <c r="D382" s="43"/>
      <c r="J382" s="43"/>
      <c r="O382" s="227"/>
      <c r="X382" s="227"/>
      <c r="Z382" s="47"/>
      <c r="AD382" s="227"/>
      <c r="AF382" s="47"/>
    </row>
    <row r="383" spans="1:32" ht="14" customHeight="1" x14ac:dyDescent="0.25">
      <c r="B383" s="15" t="s">
        <v>442</v>
      </c>
      <c r="C383" s="21"/>
      <c r="D383" s="50"/>
      <c r="E383" s="16"/>
      <c r="F383" s="52"/>
      <c r="G383" s="55"/>
      <c r="I383" s="15" t="s">
        <v>443</v>
      </c>
      <c r="O383" s="25" t="s">
        <v>444</v>
      </c>
      <c r="T383" s="25" t="s">
        <v>445</v>
      </c>
      <c r="Z383" s="47"/>
      <c r="AA383" s="25"/>
      <c r="AB383" s="15"/>
      <c r="AC383" s="15"/>
      <c r="AD383" s="15"/>
      <c r="AE383" s="15"/>
      <c r="AF383" s="15"/>
    </row>
    <row r="384" spans="1:32" ht="14" customHeight="1" x14ac:dyDescent="0.25">
      <c r="B384" s="21" t="s">
        <v>334</v>
      </c>
      <c r="C384" s="21" t="s">
        <v>335</v>
      </c>
      <c r="D384" s="9" t="s">
        <v>436</v>
      </c>
      <c r="E384" s="21" t="s">
        <v>337</v>
      </c>
      <c r="F384" s="21" t="s">
        <v>423</v>
      </c>
      <c r="G384" s="21" t="s">
        <v>424</v>
      </c>
      <c r="I384" s="21" t="s">
        <v>334</v>
      </c>
      <c r="J384" s="21" t="s">
        <v>335</v>
      </c>
      <c r="K384" s="9" t="s">
        <v>437</v>
      </c>
      <c r="L384" s="21" t="s">
        <v>337</v>
      </c>
      <c r="M384" s="21" t="s">
        <v>423</v>
      </c>
      <c r="O384" s="21" t="s">
        <v>334</v>
      </c>
      <c r="P384" s="21" t="s">
        <v>335</v>
      </c>
      <c r="Q384" s="50" t="s">
        <v>438</v>
      </c>
      <c r="R384" s="56" t="s">
        <v>384</v>
      </c>
      <c r="S384" s="21"/>
      <c r="T384" s="21" t="s">
        <v>334</v>
      </c>
      <c r="U384" s="56" t="s">
        <v>381</v>
      </c>
      <c r="V384" s="21" t="s">
        <v>438</v>
      </c>
      <c r="W384" s="57" t="s">
        <v>337</v>
      </c>
      <c r="X384" s="21"/>
      <c r="Z384" s="47"/>
      <c r="AA384" s="21"/>
      <c r="AB384" s="21"/>
      <c r="AC384" s="9"/>
      <c r="AD384" s="21"/>
      <c r="AE384" s="21"/>
      <c r="AF384" s="21"/>
    </row>
    <row r="385" spans="1:32" ht="14" customHeight="1" x14ac:dyDescent="0.25">
      <c r="A385" s="186"/>
      <c r="B385" s="21">
        <v>1</v>
      </c>
      <c r="C385" s="21" t="s">
        <v>68</v>
      </c>
      <c r="D385" s="50">
        <v>28.7</v>
      </c>
      <c r="E385" s="16">
        <f>D385/$D$401</f>
        <v>0.42708333333333331</v>
      </c>
      <c r="F385" s="55">
        <f>D385/D627-1</f>
        <v>0.45685279187817263</v>
      </c>
      <c r="G385" s="55">
        <f>D385/D405-1</f>
        <v>0.13349131121642976</v>
      </c>
      <c r="H385" s="21"/>
      <c r="I385" s="15">
        <v>1</v>
      </c>
      <c r="J385" s="21" t="s">
        <v>68</v>
      </c>
      <c r="K385" s="57">
        <v>211.72</v>
      </c>
      <c r="L385" s="56">
        <f t="shared" ref="L385:L401" si="5">K385/$K$401</f>
        <v>0.44761099365750529</v>
      </c>
      <c r="M385" s="16">
        <f>K385/K627-1</f>
        <v>0.45232542186856906</v>
      </c>
      <c r="O385" s="21">
        <v>1</v>
      </c>
      <c r="P385" s="57" t="s">
        <v>68</v>
      </c>
      <c r="Q385" s="58">
        <v>19.55</v>
      </c>
      <c r="R385" s="53">
        <f t="shared" ref="R385:R401" si="6">Q385/$Q$401</f>
        <v>0.36473880597014924</v>
      </c>
      <c r="T385" s="21">
        <v>1</v>
      </c>
      <c r="U385" s="56" t="s">
        <v>98</v>
      </c>
      <c r="V385" s="21">
        <v>9.15</v>
      </c>
      <c r="W385" s="54">
        <f t="shared" ref="W385:W401" si="7">V385/$V$401</f>
        <v>0.67279411764705888</v>
      </c>
      <c r="Z385" s="47"/>
      <c r="AA385" s="21"/>
      <c r="AB385" s="21"/>
      <c r="AC385" s="50"/>
      <c r="AD385" s="16"/>
      <c r="AE385" s="55"/>
      <c r="AF385" s="55"/>
    </row>
    <row r="386" spans="1:32" ht="14" customHeight="1" x14ac:dyDescent="0.25">
      <c r="A386" s="186"/>
      <c r="B386" s="21">
        <v>2</v>
      </c>
      <c r="C386" s="21" t="s">
        <v>69</v>
      </c>
      <c r="D386" s="50">
        <v>16.87</v>
      </c>
      <c r="E386" s="16">
        <f>D386/$D$401</f>
        <v>0.25104166666666666</v>
      </c>
      <c r="F386" s="55">
        <f>D386/D628-1</f>
        <v>0.6539215686274511</v>
      </c>
      <c r="G386" s="55">
        <f>D386/D406-1</f>
        <v>6.6371681415929196E-2</v>
      </c>
      <c r="H386" s="21"/>
      <c r="I386" s="15">
        <v>2</v>
      </c>
      <c r="J386" s="21" t="s">
        <v>69</v>
      </c>
      <c r="K386" s="57">
        <v>117.54</v>
      </c>
      <c r="L386" s="56">
        <f t="shared" si="5"/>
        <v>0.24849894291754759</v>
      </c>
      <c r="M386" s="16">
        <f>K386/K628-1</f>
        <v>0.24407281964436911</v>
      </c>
      <c r="O386" s="21">
        <v>2</v>
      </c>
      <c r="P386" s="57" t="s">
        <v>69</v>
      </c>
      <c r="Q386" s="59">
        <v>16.86</v>
      </c>
      <c r="R386" s="53">
        <f t="shared" si="6"/>
        <v>0.31455223880597011</v>
      </c>
      <c r="T386" s="21">
        <v>2</v>
      </c>
      <c r="U386" s="56" t="s">
        <v>100</v>
      </c>
      <c r="V386" s="21">
        <v>1.67</v>
      </c>
      <c r="W386" s="54">
        <f t="shared" si="7"/>
        <v>0.12279411764705882</v>
      </c>
      <c r="AA386" s="21"/>
      <c r="AB386" s="21"/>
      <c r="AC386" s="50"/>
      <c r="AD386" s="16"/>
      <c r="AE386" s="55"/>
      <c r="AF386" s="55"/>
    </row>
    <row r="387" spans="1:32" ht="14" customHeight="1" x14ac:dyDescent="0.25">
      <c r="A387" s="186"/>
      <c r="B387" s="21">
        <v>3</v>
      </c>
      <c r="C387" s="21" t="s">
        <v>71</v>
      </c>
      <c r="D387" s="50">
        <v>4.4800000000000004</v>
      </c>
      <c r="E387" s="16">
        <f t="shared" ref="E387:E401" si="8">D387/$D$401</f>
        <v>6.6666666666666666E-2</v>
      </c>
      <c r="F387" s="55">
        <f>D387/D629-1</f>
        <v>0.38271604938271619</v>
      </c>
      <c r="G387" s="55">
        <f>D387/D407-1</f>
        <v>0.14578005115089532</v>
      </c>
      <c r="H387" s="21"/>
      <c r="I387" s="15">
        <v>3</v>
      </c>
      <c r="J387" s="21" t="s">
        <v>71</v>
      </c>
      <c r="K387" s="57">
        <v>32.270000000000003</v>
      </c>
      <c r="L387" s="56">
        <f t="shared" si="5"/>
        <v>6.8224101479915436E-2</v>
      </c>
      <c r="M387" s="16">
        <f>K387/K629-1</f>
        <v>8.1796848809922995E-2</v>
      </c>
      <c r="O387" s="21">
        <v>3</v>
      </c>
      <c r="P387" s="57" t="s">
        <v>70</v>
      </c>
      <c r="Q387" s="58">
        <v>3.37</v>
      </c>
      <c r="R387" s="53">
        <f t="shared" si="6"/>
        <v>6.2873134328358213E-2</v>
      </c>
      <c r="T387" s="21">
        <v>3</v>
      </c>
      <c r="U387" s="21" t="s">
        <v>439</v>
      </c>
      <c r="V387" s="21">
        <v>1</v>
      </c>
      <c r="W387" s="54">
        <f t="shared" si="7"/>
        <v>7.3529411764705885E-2</v>
      </c>
      <c r="Z387" s="47"/>
      <c r="AA387" s="21"/>
      <c r="AB387" s="21"/>
      <c r="AC387" s="50"/>
      <c r="AD387" s="16"/>
      <c r="AE387" s="55"/>
      <c r="AF387" s="55"/>
    </row>
    <row r="388" spans="1:32" ht="14" customHeight="1" x14ac:dyDescent="0.25">
      <c r="A388" s="186"/>
      <c r="B388" s="21">
        <v>4</v>
      </c>
      <c r="C388" s="21" t="s">
        <v>70</v>
      </c>
      <c r="D388" s="50">
        <v>3.56</v>
      </c>
      <c r="E388" s="16">
        <f t="shared" si="8"/>
        <v>5.2976190476190475E-2</v>
      </c>
      <c r="F388" s="55">
        <f>D388/D630-1</f>
        <v>0.68720379146919441</v>
      </c>
      <c r="G388" s="55">
        <f>D388/D408-1</f>
        <v>0.1558441558441559</v>
      </c>
      <c r="H388" s="21"/>
      <c r="I388" s="15">
        <v>4</v>
      </c>
      <c r="J388" s="21" t="s">
        <v>70</v>
      </c>
      <c r="K388" s="57">
        <v>20.85</v>
      </c>
      <c r="L388" s="56">
        <f t="shared" si="5"/>
        <v>4.4080338266384779E-2</v>
      </c>
      <c r="M388" s="16">
        <f>K388/K631-1</f>
        <v>0.50216138328530269</v>
      </c>
      <c r="O388" s="21">
        <v>4</v>
      </c>
      <c r="P388" s="57" t="s">
        <v>71</v>
      </c>
      <c r="Q388" s="59">
        <v>2.82</v>
      </c>
      <c r="R388" s="53">
        <f t="shared" si="6"/>
        <v>5.2611940298507458E-2</v>
      </c>
      <c r="T388" s="21">
        <v>4</v>
      </c>
      <c r="U388" s="21" t="s">
        <v>74</v>
      </c>
      <c r="V388" s="21">
        <v>0.57999999999999996</v>
      </c>
      <c r="W388" s="54">
        <f t="shared" si="7"/>
        <v>4.2647058823529413E-2</v>
      </c>
      <c r="AA388" s="21"/>
      <c r="AB388" s="21"/>
      <c r="AC388" s="50"/>
      <c r="AD388" s="16"/>
      <c r="AE388" s="55"/>
      <c r="AF388" s="55"/>
    </row>
    <row r="389" spans="1:32" ht="14" customHeight="1" x14ac:dyDescent="0.25">
      <c r="A389" s="186"/>
      <c r="B389" s="21">
        <v>5</v>
      </c>
      <c r="C389" s="21" t="s">
        <v>74</v>
      </c>
      <c r="D389" s="50">
        <v>2.34</v>
      </c>
      <c r="E389" s="16">
        <f t="shared" si="8"/>
        <v>3.4821428571428566E-2</v>
      </c>
      <c r="F389" s="55">
        <f>D389/D633-1</f>
        <v>0.68345323741007191</v>
      </c>
      <c r="G389" s="55">
        <f>D389/D409-1</f>
        <v>0.23157894736842111</v>
      </c>
      <c r="H389" s="21"/>
      <c r="I389" s="15">
        <v>5</v>
      </c>
      <c r="J389" s="21" t="s">
        <v>73</v>
      </c>
      <c r="K389" s="57">
        <v>15.87</v>
      </c>
      <c r="L389" s="56">
        <f t="shared" si="5"/>
        <v>3.3551797040169133E-2</v>
      </c>
      <c r="M389" s="16">
        <f>K389/K630-1</f>
        <v>5.2387267904509205E-2</v>
      </c>
      <c r="O389" s="21">
        <v>5</v>
      </c>
      <c r="P389" s="57" t="s">
        <v>73</v>
      </c>
      <c r="Q389" s="59">
        <v>1.82</v>
      </c>
      <c r="R389" s="53">
        <f t="shared" si="6"/>
        <v>3.3955223880597019E-2</v>
      </c>
      <c r="T389" s="21">
        <v>5</v>
      </c>
      <c r="U389" s="56" t="s">
        <v>185</v>
      </c>
      <c r="V389" s="21">
        <v>0.36</v>
      </c>
      <c r="W389" s="54">
        <f t="shared" si="7"/>
        <v>2.6470588235294117E-2</v>
      </c>
      <c r="Z389" s="47"/>
      <c r="AA389" s="21"/>
      <c r="AB389" s="21"/>
      <c r="AC389" s="50"/>
      <c r="AD389" s="16"/>
      <c r="AE389" s="55"/>
      <c r="AF389" s="55"/>
    </row>
    <row r="390" spans="1:32" ht="14" customHeight="1" x14ac:dyDescent="0.25">
      <c r="A390" s="186"/>
      <c r="B390" s="21">
        <v>6</v>
      </c>
      <c r="C390" s="21" t="s">
        <v>73</v>
      </c>
      <c r="D390" s="50">
        <v>2.0499999999999998</v>
      </c>
      <c r="E390" s="16">
        <f t="shared" si="8"/>
        <v>3.0505952380952377E-2</v>
      </c>
      <c r="F390" s="55">
        <f>D390/D631-1</f>
        <v>0</v>
      </c>
      <c r="G390" s="55">
        <f>D390/D413-1</f>
        <v>0.83035714285714257</v>
      </c>
      <c r="H390" s="21"/>
      <c r="I390" s="15">
        <v>6</v>
      </c>
      <c r="J390" s="21" t="s">
        <v>74</v>
      </c>
      <c r="K390" s="57">
        <v>14.21</v>
      </c>
      <c r="L390" s="56">
        <f t="shared" si="5"/>
        <v>3.0042283298097255E-2</v>
      </c>
      <c r="M390" s="16">
        <f>K390/K633-1</f>
        <v>0.97910863509749313</v>
      </c>
      <c r="O390" s="21">
        <v>6</v>
      </c>
      <c r="P390" s="57" t="s">
        <v>322</v>
      </c>
      <c r="Q390" s="59">
        <v>1.77</v>
      </c>
      <c r="R390" s="53">
        <f t="shared" si="6"/>
        <v>3.3022388059701493E-2</v>
      </c>
      <c r="T390" s="21">
        <v>6</v>
      </c>
      <c r="U390" s="56" t="s">
        <v>103</v>
      </c>
      <c r="V390" s="21">
        <v>0.23</v>
      </c>
      <c r="W390" s="54">
        <f t="shared" si="7"/>
        <v>1.6911764705882355E-2</v>
      </c>
      <c r="AA390" s="21"/>
      <c r="AB390" s="21"/>
      <c r="AC390" s="50"/>
      <c r="AD390" s="45"/>
      <c r="AE390" s="50"/>
      <c r="AF390" s="50"/>
    </row>
    <row r="391" spans="1:32" ht="14" customHeight="1" x14ac:dyDescent="0.25">
      <c r="A391" s="186"/>
      <c r="B391" s="21">
        <v>7</v>
      </c>
      <c r="C391" s="21" t="s">
        <v>129</v>
      </c>
      <c r="D391" s="50">
        <v>1.78</v>
      </c>
      <c r="E391" s="16">
        <f t="shared" si="8"/>
        <v>2.6488095238095238E-2</v>
      </c>
      <c r="F391" s="55">
        <f>D391/D635-1</f>
        <v>0.91397849462365577</v>
      </c>
      <c r="G391" s="55">
        <f>D391/D410-1</f>
        <v>5.3254437869822535E-2</v>
      </c>
      <c r="H391" s="21"/>
      <c r="I391" s="15">
        <v>7</v>
      </c>
      <c r="J391" s="21" t="s">
        <v>129</v>
      </c>
      <c r="K391" s="57">
        <v>14.1</v>
      </c>
      <c r="L391" s="56">
        <f t="shared" si="5"/>
        <v>2.9809725158562367E-2</v>
      </c>
      <c r="M391" s="16">
        <f>K391/K632-1</f>
        <v>0.94751381215469599</v>
      </c>
      <c r="O391" s="21">
        <v>7</v>
      </c>
      <c r="P391" s="57" t="s">
        <v>74</v>
      </c>
      <c r="Q391" s="58">
        <v>1.76</v>
      </c>
      <c r="R391" s="53">
        <f t="shared" si="6"/>
        <v>3.2835820895522387E-2</v>
      </c>
      <c r="T391" s="21">
        <v>7</v>
      </c>
      <c r="U391" s="56" t="s">
        <v>181</v>
      </c>
      <c r="V391" s="49">
        <v>0.21</v>
      </c>
      <c r="W391" s="54">
        <f t="shared" si="7"/>
        <v>1.5441176470588236E-2</v>
      </c>
      <c r="Z391" s="47"/>
      <c r="AA391" s="21"/>
      <c r="AB391" s="21"/>
      <c r="AC391" s="50"/>
      <c r="AD391" s="45"/>
      <c r="AE391" s="52"/>
      <c r="AF391" s="55"/>
    </row>
    <row r="392" spans="1:32" ht="14" customHeight="1" x14ac:dyDescent="0.25">
      <c r="A392" s="186"/>
      <c r="B392" s="21">
        <v>8</v>
      </c>
      <c r="C392" s="21" t="s">
        <v>322</v>
      </c>
      <c r="D392" s="50">
        <v>1.77</v>
      </c>
      <c r="E392" s="16">
        <f t="shared" si="8"/>
        <v>2.6339285714285714E-2</v>
      </c>
      <c r="F392" s="55">
        <f>D392/D636-1</f>
        <v>1.1071428571428572</v>
      </c>
      <c r="G392" s="55">
        <f>D392/D411-1</f>
        <v>9.9378881987577605E-2</v>
      </c>
      <c r="H392" s="21"/>
      <c r="I392" s="15">
        <v>8</v>
      </c>
      <c r="J392" s="21" t="s">
        <v>322</v>
      </c>
      <c r="K392" s="57">
        <v>10.23</v>
      </c>
      <c r="L392" s="56">
        <f t="shared" si="5"/>
        <v>2.1627906976744188E-2</v>
      </c>
      <c r="M392" s="16">
        <f>K392/K637-1</f>
        <v>1.5639097744360901</v>
      </c>
      <c r="O392" s="21">
        <v>8</v>
      </c>
      <c r="P392" s="57" t="s">
        <v>129</v>
      </c>
      <c r="Q392" s="58">
        <v>1.57</v>
      </c>
      <c r="R392" s="53">
        <f t="shared" si="6"/>
        <v>2.9291044776119404E-2</v>
      </c>
      <c r="T392" s="21">
        <v>8</v>
      </c>
      <c r="U392" s="56" t="s">
        <v>101</v>
      </c>
      <c r="V392" s="21">
        <v>0.19</v>
      </c>
      <c r="W392" s="54">
        <f t="shared" si="7"/>
        <v>1.3970588235294118E-2</v>
      </c>
    </row>
    <row r="393" spans="1:32" ht="14" customHeight="1" x14ac:dyDescent="0.25">
      <c r="A393" s="186"/>
      <c r="B393" s="21">
        <v>9</v>
      </c>
      <c r="C393" s="21" t="s">
        <v>323</v>
      </c>
      <c r="D393" s="50">
        <v>1.22</v>
      </c>
      <c r="E393" s="16">
        <f t="shared" si="8"/>
        <v>1.8154761904761903E-2</v>
      </c>
      <c r="F393" s="55">
        <f>D393/D637-1</f>
        <v>0.71830985915492973</v>
      </c>
      <c r="G393" s="55">
        <f>D393/D412-1</f>
        <v>-8.9552238805970186E-2</v>
      </c>
      <c r="I393" s="15">
        <v>9</v>
      </c>
      <c r="J393" s="15" t="s">
        <v>370</v>
      </c>
      <c r="K393" s="57">
        <v>8.7899999999999991</v>
      </c>
      <c r="L393" s="56">
        <f t="shared" si="5"/>
        <v>1.8583509513742071E-2</v>
      </c>
      <c r="M393" s="16">
        <f>K393/K636-1</f>
        <v>0.96644295302013417</v>
      </c>
      <c r="O393" s="21">
        <v>9</v>
      </c>
      <c r="P393" s="57" t="s">
        <v>323</v>
      </c>
      <c r="Q393" s="58">
        <v>1.05</v>
      </c>
      <c r="R393" s="53">
        <f t="shared" si="6"/>
        <v>1.9589552238805971E-2</v>
      </c>
      <c r="T393" s="21">
        <v>9</v>
      </c>
      <c r="U393" s="56" t="s">
        <v>370</v>
      </c>
      <c r="V393" s="21">
        <v>0.16</v>
      </c>
      <c r="W393" s="54">
        <f t="shared" si="7"/>
        <v>1.1764705882352941E-2</v>
      </c>
      <c r="Z393" s="47"/>
      <c r="AD393" s="227"/>
      <c r="AF393" s="47"/>
    </row>
    <row r="394" spans="1:32" ht="14" customHeight="1" x14ac:dyDescent="0.25">
      <c r="A394" s="186"/>
      <c r="B394" s="21">
        <v>10</v>
      </c>
      <c r="C394" s="21" t="s">
        <v>439</v>
      </c>
      <c r="D394" s="50">
        <v>1</v>
      </c>
      <c r="E394" s="16">
        <f t="shared" si="8"/>
        <v>1.488095238095238E-2</v>
      </c>
      <c r="F394" s="55"/>
      <c r="G394" s="55"/>
      <c r="H394" s="21"/>
      <c r="I394" s="15">
        <v>10</v>
      </c>
      <c r="J394" s="21" t="s">
        <v>439</v>
      </c>
      <c r="K394" s="57">
        <v>6.82</v>
      </c>
      <c r="L394" s="56">
        <f t="shared" si="5"/>
        <v>1.4418604651162792E-2</v>
      </c>
      <c r="M394" s="16"/>
      <c r="O394" s="21">
        <v>10</v>
      </c>
      <c r="P394" s="57" t="s">
        <v>397</v>
      </c>
      <c r="Q394" s="58">
        <v>0.86</v>
      </c>
      <c r="R394" s="53">
        <f t="shared" si="6"/>
        <v>1.6044776119402984E-2</v>
      </c>
      <c r="T394" s="21">
        <v>10</v>
      </c>
      <c r="U394" s="56" t="s">
        <v>355</v>
      </c>
      <c r="V394" s="49">
        <v>0.03</v>
      </c>
      <c r="W394" s="54">
        <f t="shared" si="7"/>
        <v>2.2058823529411764E-3</v>
      </c>
    </row>
    <row r="395" spans="1:32" ht="14" customHeight="1" x14ac:dyDescent="0.25">
      <c r="A395" s="186"/>
      <c r="B395" s="21">
        <v>11</v>
      </c>
      <c r="C395" s="21" t="s">
        <v>397</v>
      </c>
      <c r="D395" s="50">
        <v>0.86</v>
      </c>
      <c r="E395" s="16">
        <f t="shared" si="8"/>
        <v>1.2797619047619047E-2</v>
      </c>
      <c r="F395" s="55"/>
      <c r="G395" s="55">
        <f>D395/D414-1</f>
        <v>0.10256410256410242</v>
      </c>
      <c r="H395" s="21"/>
      <c r="I395" s="15">
        <v>11</v>
      </c>
      <c r="J395" s="21" t="s">
        <v>397</v>
      </c>
      <c r="K395" s="57">
        <v>5.31</v>
      </c>
      <c r="L395" s="56">
        <f t="shared" si="5"/>
        <v>1.1226215644820296E-2</v>
      </c>
      <c r="M395" s="16"/>
      <c r="O395" s="21">
        <v>11</v>
      </c>
      <c r="P395" s="57" t="s">
        <v>325</v>
      </c>
      <c r="Q395" s="59">
        <v>0.56000000000000005</v>
      </c>
      <c r="R395" s="53">
        <f t="shared" si="6"/>
        <v>1.0447761194029851E-2</v>
      </c>
      <c r="T395" s="21">
        <v>11</v>
      </c>
      <c r="U395" s="56" t="s">
        <v>99</v>
      </c>
      <c r="V395" s="49">
        <v>0.01</v>
      </c>
      <c r="W395" s="54">
        <f t="shared" si="7"/>
        <v>7.3529411764705881E-4</v>
      </c>
      <c r="Z395" s="47"/>
      <c r="AD395" s="227"/>
      <c r="AF395" s="47"/>
    </row>
    <row r="396" spans="1:32" ht="14" customHeight="1" x14ac:dyDescent="0.25">
      <c r="A396" s="156"/>
      <c r="B396" s="21">
        <v>12</v>
      </c>
      <c r="C396" s="21" t="s">
        <v>325</v>
      </c>
      <c r="D396" s="50">
        <v>0.56000000000000005</v>
      </c>
      <c r="E396" s="16">
        <f t="shared" si="8"/>
        <v>8.3333333333333332E-3</v>
      </c>
      <c r="F396" s="55"/>
      <c r="G396" s="55">
        <f>D396/D418-1</f>
        <v>0.40000000000000013</v>
      </c>
      <c r="H396" s="21"/>
      <c r="I396" s="15">
        <v>12</v>
      </c>
      <c r="J396" s="21" t="s">
        <v>357</v>
      </c>
      <c r="K396" s="57">
        <v>3.08</v>
      </c>
      <c r="L396" s="56">
        <f t="shared" si="5"/>
        <v>6.5116279069767444E-3</v>
      </c>
      <c r="M396" s="16">
        <f>K396/K635-1</f>
        <v>-0.37777777777777777</v>
      </c>
      <c r="O396" s="21">
        <v>12</v>
      </c>
      <c r="P396" s="57" t="s">
        <v>326</v>
      </c>
      <c r="Q396" s="58">
        <v>0.45</v>
      </c>
      <c r="R396" s="53">
        <f t="shared" si="6"/>
        <v>8.3955223880597014E-3</v>
      </c>
      <c r="T396" s="21">
        <v>12</v>
      </c>
      <c r="U396" s="56" t="s">
        <v>356</v>
      </c>
      <c r="V396" s="49">
        <v>0.01</v>
      </c>
      <c r="W396" s="54">
        <f t="shared" si="7"/>
        <v>7.3529411764705881E-4</v>
      </c>
    </row>
    <row r="397" spans="1:32" ht="14" customHeight="1" x14ac:dyDescent="0.25">
      <c r="A397" s="186"/>
      <c r="B397" s="21">
        <v>13</v>
      </c>
      <c r="C397" s="21" t="s">
        <v>326</v>
      </c>
      <c r="D397" s="50">
        <v>0.45</v>
      </c>
      <c r="E397" s="16">
        <f t="shared" si="8"/>
        <v>6.6964285714285711E-3</v>
      </c>
      <c r="F397" s="55">
        <f>D397/D639-1</f>
        <v>1.0454545454545454</v>
      </c>
      <c r="G397" s="55">
        <f>D397/D415-1</f>
        <v>-8.1632653061224469E-2</v>
      </c>
      <c r="H397" s="56"/>
      <c r="I397" s="15">
        <v>13</v>
      </c>
      <c r="J397" s="21" t="s">
        <v>326</v>
      </c>
      <c r="K397" s="57">
        <v>2.62</v>
      </c>
      <c r="L397" s="56">
        <f t="shared" si="5"/>
        <v>5.5391120507399579E-3</v>
      </c>
      <c r="M397" s="16">
        <f>K397/K638-1</f>
        <v>0.61728395061728381</v>
      </c>
      <c r="O397" s="21">
        <v>13</v>
      </c>
      <c r="P397" s="57" t="s">
        <v>418</v>
      </c>
      <c r="Q397" s="59">
        <v>0.35</v>
      </c>
      <c r="R397" s="53">
        <f t="shared" si="6"/>
        <v>6.5298507462686565E-3</v>
      </c>
      <c r="T397" s="21">
        <v>13</v>
      </c>
      <c r="U397" s="56" t="s">
        <v>441</v>
      </c>
      <c r="V397" s="49">
        <v>0</v>
      </c>
      <c r="W397" s="54">
        <f t="shared" si="7"/>
        <v>0</v>
      </c>
      <c r="Z397" s="47"/>
      <c r="AD397" s="227"/>
      <c r="AF397" s="47"/>
    </row>
    <row r="398" spans="1:32" ht="14" customHeight="1" x14ac:dyDescent="0.25">
      <c r="A398" s="186"/>
      <c r="B398" s="21">
        <v>14</v>
      </c>
      <c r="C398" s="21" t="s">
        <v>357</v>
      </c>
      <c r="D398" s="50">
        <v>0.38</v>
      </c>
      <c r="E398" s="16">
        <f t="shared" si="8"/>
        <v>5.6547619047619046E-3</v>
      </c>
      <c r="F398" s="55">
        <f>D398/D634-1</f>
        <v>-0.64485981308411211</v>
      </c>
      <c r="G398" s="55">
        <f>D398/D419-1</f>
        <v>0.52</v>
      </c>
      <c r="H398" s="21"/>
      <c r="I398" s="15">
        <v>14</v>
      </c>
      <c r="J398" s="21" t="s">
        <v>325</v>
      </c>
      <c r="K398" s="57">
        <v>1.7</v>
      </c>
      <c r="L398" s="56">
        <f t="shared" si="5"/>
        <v>3.5940803382663849E-3</v>
      </c>
      <c r="M398" s="16"/>
      <c r="O398" s="21">
        <v>14</v>
      </c>
      <c r="P398" s="57" t="s">
        <v>348</v>
      </c>
      <c r="Q398" s="59">
        <v>0.21</v>
      </c>
      <c r="R398" s="53">
        <f t="shared" si="6"/>
        <v>3.9179104477611937E-3</v>
      </c>
      <c r="T398" s="21">
        <v>14</v>
      </c>
      <c r="U398" s="56" t="s">
        <v>329</v>
      </c>
      <c r="V398" s="49">
        <v>0</v>
      </c>
      <c r="W398" s="54">
        <f t="shared" si="7"/>
        <v>0</v>
      </c>
    </row>
    <row r="399" spans="1:32" ht="14" customHeight="1" x14ac:dyDescent="0.25">
      <c r="A399" s="186"/>
      <c r="B399" s="21">
        <v>15</v>
      </c>
      <c r="C399" s="21" t="s">
        <v>418</v>
      </c>
      <c r="D399" s="50">
        <v>0.35</v>
      </c>
      <c r="E399" s="16">
        <f t="shared" si="8"/>
        <v>5.208333333333333E-3</v>
      </c>
      <c r="F399" s="55"/>
      <c r="G399" s="55">
        <f>D399/D417-1</f>
        <v>-0.14634146341463417</v>
      </c>
      <c r="H399" s="21"/>
      <c r="I399" s="15">
        <v>15</v>
      </c>
      <c r="J399" s="21" t="s">
        <v>418</v>
      </c>
      <c r="K399" s="57">
        <v>1.59</v>
      </c>
      <c r="L399" s="56">
        <f t="shared" si="5"/>
        <v>3.3615221987315013E-3</v>
      </c>
      <c r="M399" s="16"/>
      <c r="O399" s="21">
        <v>15</v>
      </c>
      <c r="P399" s="57" t="s">
        <v>408</v>
      </c>
      <c r="Q399" s="58">
        <v>0.18</v>
      </c>
      <c r="R399" s="53">
        <f t="shared" si="6"/>
        <v>3.3582089552238806E-3</v>
      </c>
      <c r="T399" s="21">
        <v>15</v>
      </c>
      <c r="U399" s="56" t="s">
        <v>392</v>
      </c>
      <c r="V399" s="49">
        <v>0</v>
      </c>
      <c r="W399" s="54">
        <f t="shared" si="7"/>
        <v>0</v>
      </c>
      <c r="Z399" s="47"/>
      <c r="AD399" s="227"/>
      <c r="AF399" s="47"/>
    </row>
    <row r="400" spans="1:32" ht="14" customHeight="1" x14ac:dyDescent="0.25">
      <c r="B400" s="21"/>
      <c r="C400" s="21" t="s">
        <v>77</v>
      </c>
      <c r="D400" s="50">
        <f>D401-SUM(D385:D399)</f>
        <v>0.82999999999999829</v>
      </c>
      <c r="E400" s="16">
        <f t="shared" si="8"/>
        <v>1.235119047619045E-2</v>
      </c>
      <c r="F400" s="55"/>
      <c r="G400" s="55"/>
      <c r="H400" s="50"/>
      <c r="I400" s="21"/>
      <c r="J400" s="21" t="s">
        <v>77</v>
      </c>
      <c r="K400" s="57">
        <f>K401-SUM(K385:K399)</f>
        <v>6.3000000000000114</v>
      </c>
      <c r="L400" s="56">
        <f t="shared" si="5"/>
        <v>1.3319238900634274E-2</v>
      </c>
      <c r="M400" s="16"/>
      <c r="P400" s="21" t="s">
        <v>77</v>
      </c>
      <c r="Q400" s="50">
        <f>Q401-SUM(Q385:Q399)</f>
        <v>0.42000000000000171</v>
      </c>
      <c r="R400" s="53">
        <f t="shared" si="6"/>
        <v>7.8358208955224204E-3</v>
      </c>
      <c r="T400" s="56"/>
      <c r="U400" s="21" t="s">
        <v>77</v>
      </c>
      <c r="V400" s="49">
        <v>0</v>
      </c>
      <c r="W400" s="54">
        <f t="shared" si="7"/>
        <v>0</v>
      </c>
    </row>
    <row r="401" spans="2:32" ht="14" customHeight="1" x14ac:dyDescent="0.25">
      <c r="B401" s="21"/>
      <c r="C401" s="21" t="s">
        <v>78</v>
      </c>
      <c r="D401" s="50">
        <v>67.2</v>
      </c>
      <c r="E401" s="16">
        <f t="shared" si="8"/>
        <v>1</v>
      </c>
      <c r="F401" s="55">
        <f>D401/D643-1</f>
        <v>0.49665924276169271</v>
      </c>
      <c r="G401" s="55">
        <f>D401/D421-1</f>
        <v>0.13513513513513509</v>
      </c>
      <c r="H401" s="50"/>
      <c r="I401" s="21"/>
      <c r="J401" s="21" t="s">
        <v>78</v>
      </c>
      <c r="K401" s="57">
        <v>473</v>
      </c>
      <c r="L401" s="56">
        <f t="shared" si="5"/>
        <v>1</v>
      </c>
      <c r="M401" s="16">
        <f>K401/K643-1</f>
        <v>0.39240506329113933</v>
      </c>
      <c r="P401" s="21" t="s">
        <v>78</v>
      </c>
      <c r="Q401" s="57">
        <v>53.6</v>
      </c>
      <c r="R401" s="53">
        <f t="shared" si="6"/>
        <v>1</v>
      </c>
      <c r="S401" s="228"/>
      <c r="U401" s="21" t="s">
        <v>78</v>
      </c>
      <c r="V401" s="57">
        <v>13.6</v>
      </c>
      <c r="W401" s="54">
        <f t="shared" si="7"/>
        <v>1</v>
      </c>
      <c r="X401" s="228"/>
      <c r="AC401" s="15"/>
      <c r="AD401" s="15"/>
      <c r="AE401" s="15"/>
      <c r="AF401" s="15"/>
    </row>
    <row r="402" spans="2:32" ht="14" customHeight="1" x14ac:dyDescent="0.25">
      <c r="D402" s="43"/>
      <c r="J402" s="43"/>
      <c r="O402" s="227"/>
      <c r="X402" s="227"/>
      <c r="Z402" s="47"/>
      <c r="AD402" s="227"/>
      <c r="AF402" s="47"/>
    </row>
    <row r="403" spans="2:32" ht="14" customHeight="1" x14ac:dyDescent="0.25">
      <c r="B403" s="15" t="s">
        <v>446</v>
      </c>
      <c r="C403" s="21"/>
      <c r="D403" s="50"/>
      <c r="E403" s="16"/>
      <c r="F403" s="52"/>
      <c r="G403" s="55"/>
      <c r="I403" s="15" t="s">
        <v>447</v>
      </c>
      <c r="O403" s="25" t="s">
        <v>448</v>
      </c>
      <c r="T403" s="25" t="s">
        <v>449</v>
      </c>
      <c r="Z403" s="47"/>
      <c r="AA403" s="25"/>
      <c r="AB403" s="15"/>
      <c r="AC403" s="15"/>
      <c r="AD403" s="15"/>
      <c r="AE403" s="15"/>
      <c r="AF403" s="15"/>
    </row>
    <row r="404" spans="2:32" ht="14" customHeight="1" x14ac:dyDescent="0.25">
      <c r="B404" s="21" t="s">
        <v>334</v>
      </c>
      <c r="C404" s="21" t="s">
        <v>335</v>
      </c>
      <c r="D404" s="9" t="s">
        <v>436</v>
      </c>
      <c r="E404" s="21" t="s">
        <v>337</v>
      </c>
      <c r="F404" s="21" t="s">
        <v>423</v>
      </c>
      <c r="G404" s="21" t="s">
        <v>424</v>
      </c>
      <c r="I404" s="21" t="s">
        <v>334</v>
      </c>
      <c r="J404" s="21" t="s">
        <v>335</v>
      </c>
      <c r="K404" s="9" t="s">
        <v>437</v>
      </c>
      <c r="L404" s="21" t="s">
        <v>337</v>
      </c>
      <c r="M404" s="21" t="s">
        <v>423</v>
      </c>
      <c r="O404" s="21" t="s">
        <v>334</v>
      </c>
      <c r="P404" s="21" t="s">
        <v>335</v>
      </c>
      <c r="Q404" s="50" t="s">
        <v>438</v>
      </c>
      <c r="R404" s="56" t="s">
        <v>384</v>
      </c>
      <c r="S404" s="21"/>
      <c r="T404" s="21" t="s">
        <v>334</v>
      </c>
      <c r="U404" s="56" t="s">
        <v>381</v>
      </c>
      <c r="V404" s="21" t="s">
        <v>438</v>
      </c>
      <c r="W404" s="57" t="s">
        <v>337</v>
      </c>
      <c r="X404" s="21"/>
      <c r="Z404" s="47"/>
      <c r="AA404" s="21"/>
      <c r="AB404" s="21"/>
      <c r="AC404" s="9"/>
      <c r="AD404" s="21"/>
      <c r="AE404" s="21"/>
      <c r="AF404" s="21"/>
    </row>
    <row r="405" spans="2:32" ht="14" customHeight="1" x14ac:dyDescent="0.25">
      <c r="B405" s="21">
        <v>1</v>
      </c>
      <c r="C405" s="21" t="s">
        <v>68</v>
      </c>
      <c r="D405" s="50">
        <v>25.32</v>
      </c>
      <c r="E405" s="16">
        <f>D405/$D$421</f>
        <v>0.42770270270270266</v>
      </c>
      <c r="F405" s="55">
        <f>D405/D649-1</f>
        <v>0.50893921334922521</v>
      </c>
      <c r="G405" s="55">
        <f>D405/D425-1</f>
        <v>5.543976656940397E-2</v>
      </c>
      <c r="I405" s="15">
        <v>1</v>
      </c>
      <c r="J405" s="21" t="s">
        <v>68</v>
      </c>
      <c r="K405" s="57">
        <v>183.02</v>
      </c>
      <c r="L405" s="56">
        <f t="shared" ref="L405:L421" si="9">K405/$K$421</f>
        <v>0.45101034992607197</v>
      </c>
      <c r="M405" s="16">
        <f t="shared" ref="M405:M421" si="10">K405/K649-1</f>
        <v>0.45161802030456855</v>
      </c>
      <c r="O405" s="21">
        <v>1</v>
      </c>
      <c r="P405" s="57" t="s">
        <v>68</v>
      </c>
      <c r="Q405" s="58">
        <v>16.71</v>
      </c>
      <c r="R405" s="53">
        <f t="shared" ref="R405:R421" si="11">Q405/$Q$421</f>
        <v>0.35553191489361702</v>
      </c>
      <c r="T405" s="21">
        <v>1</v>
      </c>
      <c r="U405" s="56" t="s">
        <v>98</v>
      </c>
      <c r="V405" s="21">
        <v>9.15</v>
      </c>
      <c r="W405" s="54">
        <f t="shared" ref="W405:W421" si="12">V405/$V$421</f>
        <v>0.75000000000000011</v>
      </c>
      <c r="Z405" s="47"/>
      <c r="AA405" s="21"/>
      <c r="AB405" s="21"/>
      <c r="AC405" s="50"/>
      <c r="AD405" s="16"/>
      <c r="AE405" s="55"/>
      <c r="AF405" s="55"/>
    </row>
    <row r="406" spans="2:32" ht="14" customHeight="1" x14ac:dyDescent="0.25">
      <c r="B406" s="21">
        <v>2</v>
      </c>
      <c r="C406" s="21" t="s">
        <v>69</v>
      </c>
      <c r="D406" s="50">
        <v>15.82</v>
      </c>
      <c r="E406" s="16">
        <f t="shared" ref="E406:E421" si="13">D406/$D$421</f>
        <v>0.26722972972972975</v>
      </c>
      <c r="F406" s="55">
        <f>D406/D650-1</f>
        <v>0.53891050583657596</v>
      </c>
      <c r="G406" s="55">
        <f>D406/D426-1</f>
        <v>0.20030349013657056</v>
      </c>
      <c r="I406" s="15">
        <v>2</v>
      </c>
      <c r="J406" s="21" t="s">
        <v>69</v>
      </c>
      <c r="K406" s="57">
        <v>100.67</v>
      </c>
      <c r="L406" s="56">
        <f t="shared" si="9"/>
        <v>0.24807787087235092</v>
      </c>
      <c r="M406" s="16">
        <f t="shared" si="10"/>
        <v>0.1944708115804461</v>
      </c>
      <c r="O406" s="21">
        <v>2</v>
      </c>
      <c r="P406" s="57" t="s">
        <v>69</v>
      </c>
      <c r="Q406" s="59">
        <v>15.82</v>
      </c>
      <c r="R406" s="53">
        <f t="shared" si="11"/>
        <v>0.33659574468085107</v>
      </c>
      <c r="T406" s="21">
        <v>2</v>
      </c>
      <c r="U406" s="56" t="s">
        <v>100</v>
      </c>
      <c r="V406" s="21">
        <v>1.3</v>
      </c>
      <c r="W406" s="54">
        <f t="shared" si="12"/>
        <v>0.10655737704918034</v>
      </c>
      <c r="AA406" s="21"/>
      <c r="AB406" s="21"/>
      <c r="AC406" s="50"/>
      <c r="AD406" s="16"/>
      <c r="AE406" s="55"/>
      <c r="AF406" s="55"/>
    </row>
    <row r="407" spans="2:32" ht="14" customHeight="1" x14ac:dyDescent="0.25">
      <c r="B407" s="21">
        <v>3</v>
      </c>
      <c r="C407" s="21" t="s">
        <v>71</v>
      </c>
      <c r="D407" s="50">
        <v>3.91</v>
      </c>
      <c r="E407" s="16">
        <f t="shared" si="13"/>
        <v>6.6047297297297303E-2</v>
      </c>
      <c r="F407" s="55">
        <f>D407/D651-1</f>
        <v>3.1662269129287601E-2</v>
      </c>
      <c r="G407" s="55">
        <f>D407/D427-1</f>
        <v>7.1232876712328919E-2</v>
      </c>
      <c r="H407" s="50"/>
      <c r="I407" s="15">
        <v>3</v>
      </c>
      <c r="J407" s="21" t="s">
        <v>71</v>
      </c>
      <c r="K407" s="57">
        <v>27.79</v>
      </c>
      <c r="L407" s="56">
        <f t="shared" si="9"/>
        <v>6.8482010842779689E-2</v>
      </c>
      <c r="M407" s="16">
        <f t="shared" si="10"/>
        <v>4.4736842105262964E-2</v>
      </c>
      <c r="O407" s="21">
        <v>3</v>
      </c>
      <c r="P407" s="57" t="s">
        <v>70</v>
      </c>
      <c r="Q407" s="58">
        <v>2.91</v>
      </c>
      <c r="R407" s="53">
        <f t="shared" si="11"/>
        <v>6.191489361702128E-2</v>
      </c>
      <c r="T407" s="21">
        <v>3</v>
      </c>
      <c r="U407" s="56" t="s">
        <v>172</v>
      </c>
      <c r="V407" s="21">
        <v>0.44</v>
      </c>
      <c r="W407" s="54">
        <f t="shared" si="12"/>
        <v>3.6065573770491806E-2</v>
      </c>
      <c r="Z407" s="47"/>
      <c r="AA407" s="21"/>
      <c r="AB407" s="21"/>
      <c r="AC407" s="50"/>
      <c r="AD407" s="16"/>
      <c r="AE407" s="55"/>
      <c r="AF407" s="55"/>
    </row>
    <row r="408" spans="2:32" ht="14" customHeight="1" x14ac:dyDescent="0.25">
      <c r="B408" s="21">
        <v>4</v>
      </c>
      <c r="C408" s="21" t="s">
        <v>70</v>
      </c>
      <c r="D408" s="50">
        <v>3.08</v>
      </c>
      <c r="E408" s="16">
        <f t="shared" si="13"/>
        <v>5.2027027027027023E-2</v>
      </c>
      <c r="F408" s="55">
        <f>D408/D653-1</f>
        <v>0.75</v>
      </c>
      <c r="G408" s="55">
        <f>D408/D428-1</f>
        <v>-2.5316455696202556E-2</v>
      </c>
      <c r="I408" s="15">
        <v>4</v>
      </c>
      <c r="J408" s="21" t="s">
        <v>70</v>
      </c>
      <c r="K408" s="57">
        <v>17.3</v>
      </c>
      <c r="L408" s="56">
        <f t="shared" si="9"/>
        <v>4.2631838344011831E-2</v>
      </c>
      <c r="M408" s="16">
        <f t="shared" si="10"/>
        <v>0.3266871165644174</v>
      </c>
      <c r="O408" s="21">
        <v>4</v>
      </c>
      <c r="P408" s="57" t="s">
        <v>71</v>
      </c>
      <c r="Q408" s="59">
        <v>2.62</v>
      </c>
      <c r="R408" s="53">
        <f t="shared" si="11"/>
        <v>5.5744680851063835E-2</v>
      </c>
      <c r="T408" s="21">
        <v>4</v>
      </c>
      <c r="U408" s="21" t="s">
        <v>74</v>
      </c>
      <c r="V408" s="21">
        <v>0.42</v>
      </c>
      <c r="W408" s="54">
        <f t="shared" si="12"/>
        <v>3.4426229508196723E-2</v>
      </c>
      <c r="AA408" s="21"/>
      <c r="AB408" s="21"/>
      <c r="AC408" s="50"/>
      <c r="AD408" s="16"/>
      <c r="AE408" s="55"/>
      <c r="AF408" s="55"/>
    </row>
    <row r="409" spans="2:32" ht="14" customHeight="1" x14ac:dyDescent="0.25">
      <c r="B409" s="21">
        <v>5</v>
      </c>
      <c r="C409" s="21" t="s">
        <v>74</v>
      </c>
      <c r="D409" s="50">
        <v>1.9</v>
      </c>
      <c r="E409" s="16">
        <f t="shared" si="13"/>
        <v>3.2094594594594593E-2</v>
      </c>
      <c r="F409" s="55">
        <f>D409/D654-1</f>
        <v>0.36690647482014382</v>
      </c>
      <c r="G409" s="55">
        <f>D409/D432-1</f>
        <v>0.47286821705426352</v>
      </c>
      <c r="H409" s="50"/>
      <c r="I409" s="15">
        <v>5</v>
      </c>
      <c r="J409" s="21" t="s">
        <v>73</v>
      </c>
      <c r="K409" s="57">
        <v>13.82</v>
      </c>
      <c r="L409" s="56">
        <f t="shared" si="9"/>
        <v>3.4056185312962048E-2</v>
      </c>
      <c r="M409" s="16">
        <f t="shared" si="10"/>
        <v>0.17317487266553488</v>
      </c>
      <c r="O409" s="21">
        <v>5</v>
      </c>
      <c r="P409" s="57" t="s">
        <v>322</v>
      </c>
      <c r="Q409" s="59">
        <v>1.61</v>
      </c>
      <c r="R409" s="53">
        <f t="shared" si="11"/>
        <v>3.4255319148936175E-2</v>
      </c>
      <c r="T409" s="21">
        <v>5</v>
      </c>
      <c r="U409" s="56" t="s">
        <v>101</v>
      </c>
      <c r="V409" s="21">
        <v>0.23</v>
      </c>
      <c r="W409" s="54">
        <f t="shared" si="12"/>
        <v>1.8852459016393444E-2</v>
      </c>
      <c r="Z409" s="47"/>
      <c r="AA409" s="21"/>
      <c r="AB409" s="21"/>
      <c r="AC409" s="50"/>
      <c r="AD409" s="16"/>
      <c r="AE409" s="55"/>
      <c r="AF409" s="55"/>
    </row>
    <row r="410" spans="2:32" ht="14" customHeight="1" x14ac:dyDescent="0.25">
      <c r="B410" s="21">
        <v>6</v>
      </c>
      <c r="C410" s="21" t="s">
        <v>129</v>
      </c>
      <c r="D410" s="50">
        <v>1.69</v>
      </c>
      <c r="E410" s="16">
        <f t="shared" si="13"/>
        <v>2.8547297297297294E-2</v>
      </c>
      <c r="F410" s="55">
        <f>D410/D658-1</f>
        <v>2.5208333333333335</v>
      </c>
      <c r="G410" s="55">
        <f>D410/D429-1</f>
        <v>-3.4285714285714364E-2</v>
      </c>
      <c r="I410" s="15">
        <v>6</v>
      </c>
      <c r="J410" s="21" t="s">
        <v>129</v>
      </c>
      <c r="K410" s="57">
        <v>12.32</v>
      </c>
      <c r="L410" s="56">
        <f t="shared" si="9"/>
        <v>3.035978314440611E-2</v>
      </c>
      <c r="M410" s="16">
        <f t="shared" si="10"/>
        <v>0.95245641838351847</v>
      </c>
      <c r="O410" s="21">
        <v>6</v>
      </c>
      <c r="P410" s="57" t="s">
        <v>129</v>
      </c>
      <c r="Q410" s="59">
        <v>1.46</v>
      </c>
      <c r="R410" s="53">
        <f t="shared" si="11"/>
        <v>3.1063829787234043E-2</v>
      </c>
      <c r="T410" s="21">
        <v>6</v>
      </c>
      <c r="U410" s="56" t="s">
        <v>181</v>
      </c>
      <c r="V410" s="21">
        <v>0.23</v>
      </c>
      <c r="W410" s="54">
        <f t="shared" si="12"/>
        <v>1.8852459016393444E-2</v>
      </c>
      <c r="AA410" s="21"/>
      <c r="AB410" s="21"/>
      <c r="AC410" s="50"/>
      <c r="AD410" s="45"/>
      <c r="AE410" s="50"/>
      <c r="AF410" s="50"/>
    </row>
    <row r="411" spans="2:32" ht="14" customHeight="1" x14ac:dyDescent="0.25">
      <c r="B411" s="21">
        <v>7</v>
      </c>
      <c r="C411" s="21" t="s">
        <v>322</v>
      </c>
      <c r="D411" s="50">
        <v>1.61</v>
      </c>
      <c r="E411" s="16">
        <f t="shared" si="13"/>
        <v>2.7195945945945946E-2</v>
      </c>
      <c r="F411" s="55">
        <f>D411/D655-1</f>
        <v>1.267605633802817</v>
      </c>
      <c r="G411" s="55">
        <f>D411/D430-1</f>
        <v>9.5238095238095344E-2</v>
      </c>
      <c r="H411" s="50"/>
      <c r="I411" s="15">
        <v>7</v>
      </c>
      <c r="J411" s="21" t="s">
        <v>74</v>
      </c>
      <c r="K411" s="57">
        <v>11.87</v>
      </c>
      <c r="L411" s="56">
        <f t="shared" si="9"/>
        <v>2.9250862493839326E-2</v>
      </c>
      <c r="M411" s="16">
        <f t="shared" si="10"/>
        <v>1.046551724137931</v>
      </c>
      <c r="O411" s="21">
        <v>7</v>
      </c>
      <c r="P411" s="57" t="s">
        <v>73</v>
      </c>
      <c r="Q411" s="58">
        <v>1.45</v>
      </c>
      <c r="R411" s="53">
        <f t="shared" si="11"/>
        <v>3.0851063829787233E-2</v>
      </c>
      <c r="T411" s="21">
        <v>7</v>
      </c>
      <c r="U411" s="56" t="s">
        <v>103</v>
      </c>
      <c r="V411" s="49">
        <v>0.17</v>
      </c>
      <c r="W411" s="54">
        <f t="shared" si="12"/>
        <v>1.3934426229508199E-2</v>
      </c>
      <c r="Z411" s="47"/>
      <c r="AA411" s="21"/>
      <c r="AB411" s="21"/>
      <c r="AC411" s="50"/>
      <c r="AD411" s="45"/>
      <c r="AE411" s="52"/>
      <c r="AF411" s="55"/>
    </row>
    <row r="412" spans="2:32" ht="14" customHeight="1" x14ac:dyDescent="0.25">
      <c r="B412" s="21">
        <v>8</v>
      </c>
      <c r="C412" s="21" t="s">
        <v>323</v>
      </c>
      <c r="D412" s="50">
        <v>1.34</v>
      </c>
      <c r="E412" s="16">
        <f t="shared" si="13"/>
        <v>2.2635135135135136E-2</v>
      </c>
      <c r="F412" s="55">
        <f>D412/D657-1</f>
        <v>1.4814814814814814</v>
      </c>
      <c r="G412" s="55">
        <f>D412/D433-1</f>
        <v>8.0645161290322731E-2</v>
      </c>
      <c r="H412" s="50"/>
      <c r="I412" s="15">
        <v>8</v>
      </c>
      <c r="J412" s="21" t="s">
        <v>322</v>
      </c>
      <c r="K412" s="57">
        <v>8.4600000000000009</v>
      </c>
      <c r="L412" s="56">
        <f t="shared" si="9"/>
        <v>2.0847708230655498E-2</v>
      </c>
      <c r="M412" s="16">
        <f t="shared" si="10"/>
        <v>0.53818181818181832</v>
      </c>
      <c r="O412" s="21">
        <v>8</v>
      </c>
      <c r="P412" s="57" t="s">
        <v>323</v>
      </c>
      <c r="Q412" s="58">
        <v>1.21</v>
      </c>
      <c r="R412" s="53">
        <f t="shared" si="11"/>
        <v>2.5744680851063829E-2</v>
      </c>
      <c r="T412" s="21">
        <v>8</v>
      </c>
      <c r="U412" s="56" t="s">
        <v>185</v>
      </c>
      <c r="V412" s="21">
        <v>0.13</v>
      </c>
      <c r="W412" s="54">
        <f t="shared" si="12"/>
        <v>1.0655737704918034E-2</v>
      </c>
    </row>
    <row r="413" spans="2:32" ht="14" customHeight="1" x14ac:dyDescent="0.25">
      <c r="B413" s="21">
        <v>9</v>
      </c>
      <c r="C413" s="21" t="s">
        <v>73</v>
      </c>
      <c r="D413" s="50">
        <v>1.1200000000000001</v>
      </c>
      <c r="E413" s="16">
        <f t="shared" si="13"/>
        <v>1.891891891891892E-2</v>
      </c>
      <c r="F413" s="55">
        <f>D413/D652-1</f>
        <v>-0.4509803921568627</v>
      </c>
      <c r="G413" s="55">
        <f>D413/D431-1</f>
        <v>-0.21126760563380276</v>
      </c>
      <c r="H413" s="50"/>
      <c r="I413" s="15">
        <v>9</v>
      </c>
      <c r="J413" s="15" t="s">
        <v>370</v>
      </c>
      <c r="K413" s="57">
        <v>7.57</v>
      </c>
      <c r="L413" s="56">
        <f t="shared" si="9"/>
        <v>1.8654509610645638E-2</v>
      </c>
      <c r="M413" s="16">
        <f t="shared" si="10"/>
        <v>0.95103092783505172</v>
      </c>
      <c r="O413" s="21">
        <v>9</v>
      </c>
      <c r="P413" s="57" t="s">
        <v>74</v>
      </c>
      <c r="Q413" s="58">
        <v>1.04</v>
      </c>
      <c r="R413" s="53">
        <f t="shared" si="11"/>
        <v>2.2127659574468085E-2</v>
      </c>
      <c r="T413" s="21">
        <v>9</v>
      </c>
      <c r="U413" s="56" t="s">
        <v>370</v>
      </c>
      <c r="V413" s="21">
        <v>0.08</v>
      </c>
      <c r="W413" s="54">
        <f t="shared" si="12"/>
        <v>6.5573770491803287E-3</v>
      </c>
      <c r="Z413" s="47"/>
      <c r="AD413" s="227"/>
      <c r="AF413" s="47"/>
    </row>
    <row r="414" spans="2:32" ht="14" customHeight="1" x14ac:dyDescent="0.25">
      <c r="B414" s="21">
        <v>10</v>
      </c>
      <c r="C414" s="21" t="s">
        <v>397</v>
      </c>
      <c r="D414" s="50">
        <v>0.78</v>
      </c>
      <c r="E414" s="16">
        <f t="shared" si="13"/>
        <v>1.3175675675675675E-2</v>
      </c>
      <c r="F414" s="55"/>
      <c r="G414" s="55">
        <f>D414/D435-1</f>
        <v>-7.1428571428571397E-2</v>
      </c>
      <c r="H414" s="50"/>
      <c r="I414" s="15">
        <v>10</v>
      </c>
      <c r="J414" s="21" t="s">
        <v>127</v>
      </c>
      <c r="K414" s="57">
        <v>5.82</v>
      </c>
      <c r="L414" s="56">
        <f t="shared" si="9"/>
        <v>1.4342040413997044E-2</v>
      </c>
      <c r="M414" s="16">
        <f t="shared" si="10"/>
        <v>0.54787234042553212</v>
      </c>
      <c r="O414" s="21">
        <v>10</v>
      </c>
      <c r="P414" s="57" t="s">
        <v>397</v>
      </c>
      <c r="Q414" s="58">
        <v>0.78</v>
      </c>
      <c r="R414" s="53">
        <f t="shared" si="11"/>
        <v>1.6595744680851066E-2</v>
      </c>
      <c r="T414" s="21">
        <v>10</v>
      </c>
      <c r="U414" s="56" t="s">
        <v>99</v>
      </c>
      <c r="V414" s="49">
        <v>0.02</v>
      </c>
      <c r="W414" s="54">
        <f t="shared" si="12"/>
        <v>1.6393442622950822E-3</v>
      </c>
    </row>
    <row r="415" spans="2:32" ht="14" customHeight="1" x14ac:dyDescent="0.25">
      <c r="B415" s="21">
        <v>11</v>
      </c>
      <c r="C415" s="21" t="s">
        <v>326</v>
      </c>
      <c r="D415" s="50">
        <v>0.49</v>
      </c>
      <c r="E415" s="16">
        <f t="shared" si="13"/>
        <v>8.2770270270270258E-3</v>
      </c>
      <c r="F415" s="55">
        <f>D415/D660-1</f>
        <v>1.0416666666666665</v>
      </c>
      <c r="G415" s="55">
        <f>D415/D436-1</f>
        <v>0.19512195121951215</v>
      </c>
      <c r="H415" s="50"/>
      <c r="I415" s="15">
        <v>11</v>
      </c>
      <c r="J415" s="21" t="s">
        <v>397</v>
      </c>
      <c r="K415" s="57">
        <v>4.45</v>
      </c>
      <c r="L415" s="56">
        <f t="shared" si="9"/>
        <v>1.0965993100049285E-2</v>
      </c>
      <c r="M415" s="16">
        <f t="shared" si="10"/>
        <v>0.41719745222929938</v>
      </c>
      <c r="O415" s="21">
        <v>11</v>
      </c>
      <c r="P415" s="57" t="s">
        <v>326</v>
      </c>
      <c r="Q415" s="59">
        <v>0.48</v>
      </c>
      <c r="R415" s="53">
        <f t="shared" si="11"/>
        <v>1.0212765957446808E-2</v>
      </c>
      <c r="T415" s="21">
        <v>11</v>
      </c>
      <c r="U415" s="56" t="s">
        <v>355</v>
      </c>
      <c r="V415" s="49">
        <v>0.01</v>
      </c>
      <c r="W415" s="54">
        <f t="shared" si="12"/>
        <v>8.1967213114754109E-4</v>
      </c>
      <c r="Z415" s="47"/>
      <c r="AD415" s="227"/>
      <c r="AF415" s="47"/>
    </row>
    <row r="416" spans="2:32" ht="14" customHeight="1" x14ac:dyDescent="0.25">
      <c r="B416" s="21">
        <v>12</v>
      </c>
      <c r="C416" s="15" t="s">
        <v>172</v>
      </c>
      <c r="D416" s="50">
        <v>0.42</v>
      </c>
      <c r="E416" s="16">
        <f t="shared" si="13"/>
        <v>7.0945945945945941E-3</v>
      </c>
      <c r="F416" s="55">
        <f>D416/D659-1</f>
        <v>0.75</v>
      </c>
      <c r="G416" s="55">
        <f>D416/D434-1</f>
        <v>-0.5280898876404494</v>
      </c>
      <c r="H416" s="50"/>
      <c r="I416" s="15">
        <v>12</v>
      </c>
      <c r="J416" s="21" t="s">
        <v>357</v>
      </c>
      <c r="K416" s="57">
        <v>2.7</v>
      </c>
      <c r="L416" s="56">
        <f t="shared" si="9"/>
        <v>6.6535239034006899E-3</v>
      </c>
      <c r="M416" s="16">
        <f t="shared" si="10"/>
        <v>0.91489361702127692</v>
      </c>
      <c r="O416" s="21">
        <v>12</v>
      </c>
      <c r="P416" s="57" t="s">
        <v>418</v>
      </c>
      <c r="Q416" s="58">
        <v>0.41</v>
      </c>
      <c r="R416" s="53">
        <f t="shared" si="11"/>
        <v>8.7234042553191483E-3</v>
      </c>
      <c r="T416" s="21">
        <v>12</v>
      </c>
      <c r="U416" s="56" t="s">
        <v>329</v>
      </c>
      <c r="V416" s="49">
        <v>0</v>
      </c>
      <c r="W416" s="54">
        <f t="shared" si="12"/>
        <v>0</v>
      </c>
    </row>
    <row r="417" spans="2:32" ht="14" customHeight="1" x14ac:dyDescent="0.25">
      <c r="B417" s="21">
        <v>13</v>
      </c>
      <c r="C417" s="21" t="s">
        <v>418</v>
      </c>
      <c r="D417" s="50">
        <v>0.41</v>
      </c>
      <c r="E417" s="16">
        <f t="shared" si="13"/>
        <v>6.9256756756756752E-3</v>
      </c>
      <c r="F417" s="55"/>
      <c r="G417" s="55">
        <f>D417/D437-1</f>
        <v>0.4137931034482758</v>
      </c>
      <c r="I417" s="15">
        <v>13</v>
      </c>
      <c r="J417" s="21" t="s">
        <v>326</v>
      </c>
      <c r="K417" s="57">
        <v>2.17</v>
      </c>
      <c r="L417" s="56">
        <f t="shared" si="9"/>
        <v>5.3474618038442581E-3</v>
      </c>
      <c r="M417" s="16">
        <f t="shared" si="10"/>
        <v>1.4659090909090908</v>
      </c>
      <c r="O417" s="21">
        <v>13</v>
      </c>
      <c r="P417" s="57" t="s">
        <v>325</v>
      </c>
      <c r="Q417" s="59">
        <v>0.4</v>
      </c>
      <c r="R417" s="53">
        <f t="shared" si="11"/>
        <v>8.5106382978723406E-3</v>
      </c>
      <c r="T417" s="21">
        <v>13</v>
      </c>
      <c r="U417" s="56" t="s">
        <v>392</v>
      </c>
      <c r="V417" s="49">
        <v>0</v>
      </c>
      <c r="W417" s="54">
        <f t="shared" si="12"/>
        <v>0</v>
      </c>
      <c r="Z417" s="47"/>
      <c r="AD417" s="227"/>
      <c r="AF417" s="47"/>
    </row>
    <row r="418" spans="2:32" ht="14" customHeight="1" x14ac:dyDescent="0.25">
      <c r="B418" s="21">
        <v>14</v>
      </c>
      <c r="C418" s="21" t="s">
        <v>325</v>
      </c>
      <c r="D418" s="50">
        <v>0.4</v>
      </c>
      <c r="E418" s="16">
        <f t="shared" si="13"/>
        <v>6.7567567567567571E-3</v>
      </c>
      <c r="F418" s="55"/>
      <c r="G418" s="55">
        <f>D418/D438-1</f>
        <v>0.4814814814814814</v>
      </c>
      <c r="H418" s="50"/>
      <c r="I418" s="15">
        <v>14</v>
      </c>
      <c r="J418" s="21" t="s">
        <v>418</v>
      </c>
      <c r="K418" s="57">
        <v>1.24</v>
      </c>
      <c r="L418" s="56">
        <f t="shared" si="9"/>
        <v>3.055692459339576E-3</v>
      </c>
      <c r="M418" s="16">
        <f t="shared" si="10"/>
        <v>3.4285714285714279</v>
      </c>
      <c r="O418" s="21">
        <v>14</v>
      </c>
      <c r="P418" s="57" t="s">
        <v>427</v>
      </c>
      <c r="Q418" s="59">
        <v>0.17</v>
      </c>
      <c r="R418" s="53">
        <f t="shared" si="11"/>
        <v>3.6170212765957448E-3</v>
      </c>
      <c r="T418" s="21">
        <v>14</v>
      </c>
      <c r="U418" s="56" t="s">
        <v>356</v>
      </c>
      <c r="V418" s="49">
        <v>0</v>
      </c>
      <c r="W418" s="54">
        <f t="shared" si="12"/>
        <v>0</v>
      </c>
    </row>
    <row r="419" spans="2:32" ht="14" customHeight="1" x14ac:dyDescent="0.25">
      <c r="B419" s="21">
        <v>15</v>
      </c>
      <c r="C419" s="21" t="s">
        <v>357</v>
      </c>
      <c r="D419" s="50">
        <v>0.25</v>
      </c>
      <c r="E419" s="16">
        <f t="shared" si="13"/>
        <v>4.2229729729729723E-3</v>
      </c>
      <c r="F419" s="55">
        <f>D419/D656-1</f>
        <v>-0.54545454545454541</v>
      </c>
      <c r="G419" s="55">
        <f>D419/D439-1</f>
        <v>0.47058823529411753</v>
      </c>
      <c r="H419" s="50"/>
      <c r="I419" s="15">
        <v>15</v>
      </c>
      <c r="J419" s="21" t="s">
        <v>325</v>
      </c>
      <c r="K419" s="57">
        <v>1.1399999999999999</v>
      </c>
      <c r="L419" s="56">
        <f t="shared" si="9"/>
        <v>2.8092656481025131E-3</v>
      </c>
      <c r="M419" s="16">
        <f t="shared" si="10"/>
        <v>3.0714285714285703</v>
      </c>
      <c r="O419" s="21">
        <v>15</v>
      </c>
      <c r="P419" s="57" t="s">
        <v>408</v>
      </c>
      <c r="Q419" s="58">
        <v>0.16</v>
      </c>
      <c r="R419" s="53">
        <f t="shared" si="11"/>
        <v>3.4042553191489361E-3</v>
      </c>
      <c r="T419" s="21">
        <v>15</v>
      </c>
      <c r="U419" s="56" t="s">
        <v>441</v>
      </c>
      <c r="V419" s="49">
        <v>0</v>
      </c>
      <c r="W419" s="54">
        <f t="shared" si="12"/>
        <v>0</v>
      </c>
      <c r="Z419" s="47"/>
      <c r="AD419" s="227"/>
      <c r="AF419" s="47"/>
    </row>
    <row r="420" spans="2:32" ht="14" customHeight="1" x14ac:dyDescent="0.25">
      <c r="B420" s="21"/>
      <c r="C420" s="21" t="s">
        <v>77</v>
      </c>
      <c r="D420" s="50">
        <f>D421-SUM(D405:D419)</f>
        <v>0.6600000000000108</v>
      </c>
      <c r="E420" s="16">
        <f t="shared" si="13"/>
        <v>1.1148648648648831E-2</v>
      </c>
      <c r="F420" s="52"/>
      <c r="G420" s="55"/>
      <c r="H420" s="50"/>
      <c r="I420" s="21"/>
      <c r="J420" s="21" t="s">
        <v>77</v>
      </c>
      <c r="K420" s="57">
        <f>K421-SUM(K405:K419)</f>
        <v>5.4600000000000364</v>
      </c>
      <c r="L420" s="56">
        <f t="shared" si="9"/>
        <v>1.3454903893543707E-2</v>
      </c>
      <c r="M420" s="16">
        <f t="shared" si="10"/>
        <v>1.9042553191488749</v>
      </c>
      <c r="P420" s="21" t="s">
        <v>77</v>
      </c>
      <c r="Q420" s="50">
        <f>Q421-SUM(Q405:Q419)</f>
        <v>-0.22999999999998977</v>
      </c>
      <c r="R420" s="53">
        <f t="shared" si="11"/>
        <v>-4.8936170212763776E-3</v>
      </c>
      <c r="T420" s="56"/>
      <c r="U420" s="21" t="s">
        <v>77</v>
      </c>
      <c r="V420" s="49">
        <v>0</v>
      </c>
      <c r="W420" s="54">
        <f t="shared" si="12"/>
        <v>0</v>
      </c>
    </row>
    <row r="421" spans="2:32" ht="14" customHeight="1" x14ac:dyDescent="0.25">
      <c r="B421" s="21"/>
      <c r="C421" s="21" t="s">
        <v>78</v>
      </c>
      <c r="D421" s="50">
        <v>59.2</v>
      </c>
      <c r="E421" s="16">
        <f t="shared" si="13"/>
        <v>1</v>
      </c>
      <c r="F421" s="52">
        <f>D421/D665-1</f>
        <v>0.51020408163265296</v>
      </c>
      <c r="G421" s="55">
        <f>D421/D441-1</f>
        <v>8.6238532110091803E-2</v>
      </c>
      <c r="H421" s="50"/>
      <c r="I421" s="21"/>
      <c r="J421" s="21" t="s">
        <v>78</v>
      </c>
      <c r="K421" s="57">
        <v>405.8</v>
      </c>
      <c r="L421" s="56">
        <f t="shared" si="9"/>
        <v>1</v>
      </c>
      <c r="M421" s="16">
        <f t="shared" si="10"/>
        <v>0.37605968124788069</v>
      </c>
      <c r="P421" s="21" t="s">
        <v>78</v>
      </c>
      <c r="Q421" s="57">
        <v>47</v>
      </c>
      <c r="R421" s="53">
        <f t="shared" si="11"/>
        <v>1</v>
      </c>
      <c r="S421" s="228"/>
      <c r="U421" s="21" t="s">
        <v>78</v>
      </c>
      <c r="V421" s="57">
        <v>12.2</v>
      </c>
      <c r="W421" s="54">
        <f t="shared" si="12"/>
        <v>1</v>
      </c>
      <c r="X421" s="228"/>
      <c r="AC421" s="15"/>
      <c r="AD421" s="15"/>
      <c r="AE421" s="15"/>
      <c r="AF421" s="15"/>
    </row>
    <row r="423" spans="2:32" ht="14" customHeight="1" x14ac:dyDescent="0.25">
      <c r="B423" s="15" t="s">
        <v>450</v>
      </c>
      <c r="C423" s="21"/>
      <c r="D423" s="50"/>
      <c r="E423" s="16"/>
      <c r="F423" s="52"/>
      <c r="G423" s="55"/>
      <c r="I423" s="15" t="s">
        <v>451</v>
      </c>
      <c r="O423" s="25" t="s">
        <v>452</v>
      </c>
      <c r="T423" s="25" t="s">
        <v>453</v>
      </c>
      <c r="Z423" s="47"/>
      <c r="AA423" s="25"/>
      <c r="AB423" s="15"/>
      <c r="AC423" s="15"/>
      <c r="AD423" s="15"/>
      <c r="AE423" s="15"/>
      <c r="AF423" s="15"/>
    </row>
    <row r="424" spans="2:32" ht="14" customHeight="1" x14ac:dyDescent="0.25">
      <c r="B424" s="21" t="s">
        <v>334</v>
      </c>
      <c r="C424" s="21" t="s">
        <v>335</v>
      </c>
      <c r="D424" s="9" t="s">
        <v>436</v>
      </c>
      <c r="E424" s="21" t="s">
        <v>337</v>
      </c>
      <c r="F424" s="21" t="s">
        <v>423</v>
      </c>
      <c r="G424" s="21" t="s">
        <v>424</v>
      </c>
      <c r="I424" s="21" t="s">
        <v>334</v>
      </c>
      <c r="J424" s="21" t="s">
        <v>335</v>
      </c>
      <c r="K424" s="9" t="s">
        <v>437</v>
      </c>
      <c r="L424" s="21" t="s">
        <v>337</v>
      </c>
      <c r="M424" s="21" t="s">
        <v>423</v>
      </c>
      <c r="O424" s="21" t="s">
        <v>334</v>
      </c>
      <c r="P424" s="21" t="s">
        <v>335</v>
      </c>
      <c r="Q424" s="50" t="s">
        <v>438</v>
      </c>
      <c r="R424" s="56" t="s">
        <v>384</v>
      </c>
      <c r="S424" s="21"/>
      <c r="T424" s="21" t="s">
        <v>334</v>
      </c>
      <c r="U424" s="56" t="s">
        <v>381</v>
      </c>
      <c r="V424" s="21" t="s">
        <v>438</v>
      </c>
      <c r="W424" s="57" t="s">
        <v>337</v>
      </c>
      <c r="X424" s="21"/>
      <c r="Z424" s="47"/>
      <c r="AA424" s="21"/>
      <c r="AB424" s="21"/>
      <c r="AC424" s="9"/>
      <c r="AD424" s="21"/>
      <c r="AE424" s="21"/>
      <c r="AF424" s="21"/>
    </row>
    <row r="425" spans="2:32" ht="14" customHeight="1" x14ac:dyDescent="0.25">
      <c r="B425" s="21">
        <v>1</v>
      </c>
      <c r="C425" s="21" t="s">
        <v>68</v>
      </c>
      <c r="D425" s="50">
        <v>23.99</v>
      </c>
      <c r="E425" s="16">
        <f>D425/$D$441</f>
        <v>0.4401834862385321</v>
      </c>
      <c r="F425" s="55">
        <f>D425/D671-1</f>
        <v>0.67177700348432046</v>
      </c>
      <c r="G425" s="55">
        <f>D425/D445-1</f>
        <v>0.14346997140133455</v>
      </c>
      <c r="I425" s="15">
        <v>1</v>
      </c>
      <c r="J425" s="21" t="s">
        <v>68</v>
      </c>
      <c r="K425" s="57">
        <v>157.69</v>
      </c>
      <c r="L425" s="56">
        <f t="shared" ref="L425:L441" si="14">K425/$K$441</f>
        <v>0.4549624927870744</v>
      </c>
      <c r="M425" s="16">
        <f>K425/K671-1</f>
        <v>0.44272644098810621</v>
      </c>
      <c r="O425" s="21">
        <v>1</v>
      </c>
      <c r="P425" s="57" t="s">
        <v>68</v>
      </c>
      <c r="Q425" s="58">
        <v>14.38</v>
      </c>
      <c r="R425" s="53">
        <f t="shared" ref="R425:R441" si="15">Q425/$Q$441</f>
        <v>0.34818401937046012</v>
      </c>
      <c r="T425" s="21">
        <v>1</v>
      </c>
      <c r="U425" s="56" t="s">
        <v>98</v>
      </c>
      <c r="V425" s="21">
        <v>9.61</v>
      </c>
      <c r="W425" s="54">
        <f t="shared" ref="W425:W441" si="16">V425/$V$441</f>
        <v>0.73358778625954191</v>
      </c>
      <c r="Z425" s="47"/>
      <c r="AA425" s="21"/>
      <c r="AB425" s="21"/>
      <c r="AC425" s="50"/>
      <c r="AD425" s="16"/>
      <c r="AE425" s="55"/>
      <c r="AF425" s="55"/>
    </row>
    <row r="426" spans="2:32" ht="14" customHeight="1" x14ac:dyDescent="0.25">
      <c r="B426" s="21">
        <v>2</v>
      </c>
      <c r="C426" s="21" t="s">
        <v>69</v>
      </c>
      <c r="D426" s="50">
        <v>13.18</v>
      </c>
      <c r="E426" s="16">
        <f t="shared" ref="E426:E441" si="17">D426/$D$441</f>
        <v>0.24183486238532109</v>
      </c>
      <c r="F426" s="55">
        <f>D426/D672-1</f>
        <v>0.34079348931841302</v>
      </c>
      <c r="G426" s="55">
        <f>D426/D446-1</f>
        <v>0.11884550084889645</v>
      </c>
      <c r="I426" s="15">
        <v>2</v>
      </c>
      <c r="J426" s="21" t="s">
        <v>69</v>
      </c>
      <c r="K426" s="57">
        <v>84.84</v>
      </c>
      <c r="L426" s="56">
        <f t="shared" si="14"/>
        <v>0.24477784189267165</v>
      </c>
      <c r="M426" s="16">
        <f>K426/K672-1</f>
        <v>0.14648648648648654</v>
      </c>
      <c r="O426" s="21">
        <v>2</v>
      </c>
      <c r="P426" s="57" t="s">
        <v>69</v>
      </c>
      <c r="Q426" s="59">
        <v>13.14</v>
      </c>
      <c r="R426" s="53">
        <f t="shared" si="15"/>
        <v>0.31815980629539953</v>
      </c>
      <c r="T426" s="21">
        <v>2</v>
      </c>
      <c r="U426" s="56" t="s">
        <v>100</v>
      </c>
      <c r="V426" s="21">
        <v>1.22</v>
      </c>
      <c r="W426" s="54">
        <f t="shared" si="16"/>
        <v>9.3129770992366412E-2</v>
      </c>
      <c r="AA426" s="21"/>
      <c r="AB426" s="21"/>
      <c r="AC426" s="50"/>
      <c r="AD426" s="16"/>
      <c r="AE426" s="55"/>
      <c r="AF426" s="55"/>
    </row>
    <row r="427" spans="2:32" ht="14" customHeight="1" x14ac:dyDescent="0.25">
      <c r="B427" s="21">
        <v>3</v>
      </c>
      <c r="C427" s="21" t="s">
        <v>71</v>
      </c>
      <c r="D427" s="50">
        <v>3.65</v>
      </c>
      <c r="E427" s="16">
        <f t="shared" si="17"/>
        <v>6.6972477064220187E-2</v>
      </c>
      <c r="F427" s="55">
        <f>D427/D673-1</f>
        <v>-2.732240437158584E-3</v>
      </c>
      <c r="G427" s="55">
        <f>D427/D447-1</f>
        <v>5.187319884726227E-2</v>
      </c>
      <c r="H427" s="50"/>
      <c r="I427" s="15">
        <v>3</v>
      </c>
      <c r="J427" s="21" t="s">
        <v>71</v>
      </c>
      <c r="K427" s="57">
        <v>23.88</v>
      </c>
      <c r="L427" s="56">
        <f t="shared" si="14"/>
        <v>6.8897864974033454E-2</v>
      </c>
      <c r="M427" s="16">
        <f>K427/K673-1</f>
        <v>4.6909250328803109E-2</v>
      </c>
      <c r="O427" s="21">
        <v>3</v>
      </c>
      <c r="P427" s="57" t="s">
        <v>70</v>
      </c>
      <c r="Q427" s="58">
        <v>2.86</v>
      </c>
      <c r="R427" s="53">
        <f t="shared" si="15"/>
        <v>6.9249394673123493E-2</v>
      </c>
      <c r="T427" s="21">
        <v>3</v>
      </c>
      <c r="U427" s="56" t="s">
        <v>172</v>
      </c>
      <c r="V427" s="21">
        <v>0.89</v>
      </c>
      <c r="W427" s="54">
        <f t="shared" si="16"/>
        <v>6.793893129770992E-2</v>
      </c>
      <c r="Z427" s="47"/>
      <c r="AA427" s="21"/>
      <c r="AB427" s="21"/>
      <c r="AC427" s="50"/>
      <c r="AD427" s="16"/>
      <c r="AE427" s="55"/>
      <c r="AF427" s="55"/>
    </row>
    <row r="428" spans="2:32" ht="14" customHeight="1" x14ac:dyDescent="0.25">
      <c r="B428" s="21">
        <v>4</v>
      </c>
      <c r="C428" s="21" t="s">
        <v>70</v>
      </c>
      <c r="D428" s="50">
        <v>3.16</v>
      </c>
      <c r="E428" s="16">
        <f t="shared" si="17"/>
        <v>5.7981651376146789E-2</v>
      </c>
      <c r="F428" s="55">
        <f>D428/D675-1</f>
        <v>1.1496598639455784</v>
      </c>
      <c r="G428" s="55">
        <f>D428/D448-1</f>
        <v>0.46296296296296302</v>
      </c>
      <c r="I428" s="15">
        <v>4</v>
      </c>
      <c r="J428" s="21" t="s">
        <v>70</v>
      </c>
      <c r="K428" s="57">
        <v>14.22</v>
      </c>
      <c r="L428" s="56">
        <f t="shared" si="14"/>
        <v>4.1027120600115409E-2</v>
      </c>
      <c r="M428" s="16">
        <f>K428/K697-1</f>
        <v>0.66510538641686212</v>
      </c>
      <c r="O428" s="21">
        <v>4</v>
      </c>
      <c r="P428" s="57" t="s">
        <v>71</v>
      </c>
      <c r="Q428" s="59">
        <v>2.4300000000000002</v>
      </c>
      <c r="R428" s="53">
        <f t="shared" si="15"/>
        <v>5.8837772397094437E-2</v>
      </c>
      <c r="T428" s="21">
        <v>4</v>
      </c>
      <c r="U428" s="21" t="s">
        <v>74</v>
      </c>
      <c r="V428" s="21">
        <v>0.31</v>
      </c>
      <c r="W428" s="54">
        <f t="shared" si="16"/>
        <v>2.366412213740458E-2</v>
      </c>
      <c r="AA428" s="21"/>
      <c r="AB428" s="21"/>
      <c r="AC428" s="50"/>
      <c r="AD428" s="16"/>
      <c r="AE428" s="55"/>
      <c r="AF428" s="55"/>
    </row>
    <row r="429" spans="2:32" ht="14" customHeight="1" x14ac:dyDescent="0.25">
      <c r="B429" s="21">
        <v>5</v>
      </c>
      <c r="C429" s="21" t="s">
        <v>129</v>
      </c>
      <c r="D429" s="50">
        <v>1.75</v>
      </c>
      <c r="E429" s="16">
        <f t="shared" si="17"/>
        <v>3.2110091743119268E-2</v>
      </c>
      <c r="F429" s="55">
        <f>D429/D678-1</f>
        <v>0.96629213483146059</v>
      </c>
      <c r="G429" s="55">
        <f>D429/D449-1</f>
        <v>0.10759493670886067</v>
      </c>
      <c r="H429" s="50"/>
      <c r="I429" s="15">
        <v>5</v>
      </c>
      <c r="J429" s="21" t="s">
        <v>73</v>
      </c>
      <c r="K429" s="57">
        <v>12.7</v>
      </c>
      <c r="L429" s="56">
        <f t="shared" si="14"/>
        <v>3.6641661858049623E-2</v>
      </c>
      <c r="M429" s="16">
        <f>K429/K674-1</f>
        <v>0.15454545454545454</v>
      </c>
      <c r="O429" s="21">
        <v>5</v>
      </c>
      <c r="P429" s="57" t="s">
        <v>322</v>
      </c>
      <c r="Q429" s="59">
        <v>1.47</v>
      </c>
      <c r="R429" s="53">
        <f t="shared" si="15"/>
        <v>3.5593220338983052E-2</v>
      </c>
      <c r="T429" s="21">
        <v>5</v>
      </c>
      <c r="U429" s="56" t="s">
        <v>101</v>
      </c>
      <c r="V429" s="21">
        <v>0.3</v>
      </c>
      <c r="W429" s="54">
        <f t="shared" si="16"/>
        <v>2.2900763358778626E-2</v>
      </c>
      <c r="Z429" s="47"/>
      <c r="AA429" s="21"/>
      <c r="AB429" s="21"/>
      <c r="AC429" s="50"/>
      <c r="AD429" s="16"/>
      <c r="AE429" s="55"/>
      <c r="AF429" s="55"/>
    </row>
    <row r="430" spans="2:32" ht="14" customHeight="1" x14ac:dyDescent="0.25">
      <c r="B430" s="21">
        <v>6</v>
      </c>
      <c r="C430" s="21" t="s">
        <v>322</v>
      </c>
      <c r="D430" s="50">
        <v>1.47</v>
      </c>
      <c r="E430" s="16">
        <f t="shared" si="17"/>
        <v>2.6972477064220183E-2</v>
      </c>
      <c r="F430" s="55">
        <f>D430/D703-1</f>
        <v>2.4186046511627906</v>
      </c>
      <c r="G430" s="55">
        <f>D430/D454-1</f>
        <v>0.67045454545454541</v>
      </c>
      <c r="I430" s="15">
        <v>6</v>
      </c>
      <c r="J430" s="21" t="s">
        <v>129</v>
      </c>
      <c r="K430" s="57">
        <v>10.63</v>
      </c>
      <c r="L430" s="56">
        <f t="shared" si="14"/>
        <v>3.066935949221004E-2</v>
      </c>
      <c r="M430" s="16">
        <f>K430/K676-1</f>
        <v>0.82332761578044611</v>
      </c>
      <c r="O430" s="21">
        <v>6</v>
      </c>
      <c r="P430" s="57" t="s">
        <v>129</v>
      </c>
      <c r="Q430" s="59">
        <v>1.47</v>
      </c>
      <c r="R430" s="53">
        <f t="shared" si="15"/>
        <v>3.5593220338983052E-2</v>
      </c>
      <c r="T430" s="21">
        <v>6</v>
      </c>
      <c r="U430" s="56" t="s">
        <v>181</v>
      </c>
      <c r="V430" s="21">
        <v>0.28000000000000003</v>
      </c>
      <c r="W430" s="54">
        <f t="shared" si="16"/>
        <v>2.1374045801526721E-2</v>
      </c>
      <c r="AA430" s="21"/>
      <c r="AB430" s="21"/>
      <c r="AC430" s="50"/>
      <c r="AD430" s="45"/>
      <c r="AE430" s="50"/>
      <c r="AF430" s="50"/>
    </row>
    <row r="431" spans="2:32" ht="14" customHeight="1" x14ac:dyDescent="0.25">
      <c r="B431" s="21">
        <v>7</v>
      </c>
      <c r="C431" s="21" t="s">
        <v>73</v>
      </c>
      <c r="D431" s="50">
        <v>1.42</v>
      </c>
      <c r="E431" s="16">
        <f t="shared" si="17"/>
        <v>2.6055045871559632E-2</v>
      </c>
      <c r="F431" s="55">
        <f>D431/D674-1</f>
        <v>-0.22826086956521752</v>
      </c>
      <c r="G431" s="55">
        <f>D431/D450-1</f>
        <v>0.109375</v>
      </c>
      <c r="H431" s="50"/>
      <c r="I431" s="15">
        <v>7</v>
      </c>
      <c r="J431" s="21" t="s">
        <v>74</v>
      </c>
      <c r="K431" s="57">
        <v>9.9700000000000006</v>
      </c>
      <c r="L431" s="56">
        <f t="shared" si="14"/>
        <v>2.8765147143681478E-2</v>
      </c>
      <c r="M431" s="16">
        <f>K431/K678-1</f>
        <v>1.2607709750566896</v>
      </c>
      <c r="O431" s="21">
        <v>7</v>
      </c>
      <c r="P431" s="57" t="s">
        <v>73</v>
      </c>
      <c r="Q431" s="58">
        <v>1.24</v>
      </c>
      <c r="R431" s="53">
        <f t="shared" si="15"/>
        <v>3.0024213075060535E-2</v>
      </c>
      <c r="T431" s="21">
        <v>7</v>
      </c>
      <c r="U431" s="56" t="s">
        <v>103</v>
      </c>
      <c r="V431" s="49">
        <v>0.18</v>
      </c>
      <c r="W431" s="54">
        <f t="shared" si="16"/>
        <v>1.3740458015267175E-2</v>
      </c>
      <c r="Z431" s="47"/>
      <c r="AA431" s="21"/>
      <c r="AB431" s="21"/>
      <c r="AC431" s="50"/>
      <c r="AD431" s="45"/>
      <c r="AE431" s="52"/>
      <c r="AF431" s="55"/>
    </row>
    <row r="432" spans="2:32" ht="14" customHeight="1" x14ac:dyDescent="0.25">
      <c r="B432" s="21">
        <v>8</v>
      </c>
      <c r="C432" s="21" t="s">
        <v>74</v>
      </c>
      <c r="D432" s="50">
        <v>1.29</v>
      </c>
      <c r="E432" s="16">
        <f t="shared" si="17"/>
        <v>2.3669724770642202E-2</v>
      </c>
      <c r="F432" s="55">
        <f>D432/D677-1</f>
        <v>0.30303030303030298</v>
      </c>
      <c r="G432" s="55">
        <f>D432/D451-1</f>
        <v>2.3809523809523725E-2</v>
      </c>
      <c r="H432" s="50"/>
      <c r="I432" s="15">
        <v>8</v>
      </c>
      <c r="J432" s="21" t="s">
        <v>322</v>
      </c>
      <c r="K432" s="57">
        <v>6.84</v>
      </c>
      <c r="L432" s="56">
        <f t="shared" si="14"/>
        <v>1.9734564339296018E-2</v>
      </c>
      <c r="M432" s="16">
        <f>K432/K681-1</f>
        <v>1.8148148148148144</v>
      </c>
      <c r="O432" s="21">
        <v>8</v>
      </c>
      <c r="P432" s="57" t="s">
        <v>323</v>
      </c>
      <c r="Q432" s="58">
        <v>1.0900000000000001</v>
      </c>
      <c r="R432" s="53">
        <f t="shared" si="15"/>
        <v>2.6392251815980632E-2</v>
      </c>
      <c r="T432" s="21">
        <v>8</v>
      </c>
      <c r="U432" s="56" t="s">
        <v>185</v>
      </c>
      <c r="V432" s="21">
        <v>0.15</v>
      </c>
      <c r="W432" s="54">
        <f t="shared" si="16"/>
        <v>1.1450381679389313E-2</v>
      </c>
    </row>
    <row r="433" spans="2:32" ht="14" customHeight="1" x14ac:dyDescent="0.25">
      <c r="B433" s="21">
        <v>9</v>
      </c>
      <c r="C433" s="21" t="s">
        <v>323</v>
      </c>
      <c r="D433" s="50">
        <v>1.24</v>
      </c>
      <c r="E433" s="16">
        <f t="shared" si="17"/>
        <v>2.2752293577981652E-2</v>
      </c>
      <c r="F433" s="55">
        <f>D433/D679-1</f>
        <v>0.82352941176470584</v>
      </c>
      <c r="G433" s="55">
        <f>D433/D453-1</f>
        <v>0.29166666666666674</v>
      </c>
      <c r="H433" s="50"/>
      <c r="I433" s="15">
        <v>9</v>
      </c>
      <c r="J433" s="15" t="s">
        <v>370</v>
      </c>
      <c r="K433" s="57">
        <v>6.23</v>
      </c>
      <c r="L433" s="56">
        <f t="shared" si="14"/>
        <v>1.7974610502019619E-2</v>
      </c>
      <c r="M433" s="16">
        <f>K433/K680-1</f>
        <v>0.93478260869565211</v>
      </c>
      <c r="O433" s="21">
        <v>9</v>
      </c>
      <c r="P433" s="57" t="s">
        <v>74</v>
      </c>
      <c r="Q433" s="58">
        <v>0.98</v>
      </c>
      <c r="R433" s="53">
        <f t="shared" si="15"/>
        <v>2.3728813559322035E-2</v>
      </c>
      <c r="T433" s="21">
        <v>9</v>
      </c>
      <c r="U433" s="56" t="s">
        <v>370</v>
      </c>
      <c r="V433" s="21">
        <v>0.15</v>
      </c>
      <c r="W433" s="54">
        <f t="shared" si="16"/>
        <v>1.1450381679389313E-2</v>
      </c>
      <c r="Z433" s="47"/>
      <c r="AD433" s="227"/>
      <c r="AF433" s="47"/>
    </row>
    <row r="434" spans="2:32" ht="14" customHeight="1" x14ac:dyDescent="0.25">
      <c r="B434" s="21">
        <v>10</v>
      </c>
      <c r="C434" s="15" t="s">
        <v>172</v>
      </c>
      <c r="D434" s="50">
        <v>0.89</v>
      </c>
      <c r="E434" s="16">
        <f t="shared" si="17"/>
        <v>1.6330275229357798E-2</v>
      </c>
      <c r="F434" s="55">
        <f>D434/D676-1</f>
        <v>-0.3046875</v>
      </c>
      <c r="G434" s="55">
        <f>D434/D452-1</f>
        <v>-0.10101010101010099</v>
      </c>
      <c r="H434" s="50"/>
      <c r="I434" s="15">
        <v>10</v>
      </c>
      <c r="J434" s="21" t="s">
        <v>127</v>
      </c>
      <c r="K434" s="57">
        <v>5.4</v>
      </c>
      <c r="L434" s="56">
        <f t="shared" si="14"/>
        <v>1.5579919215233698E-2</v>
      </c>
      <c r="M434" s="16">
        <f>K434/K677-1</f>
        <v>2.6615969581749166E-2</v>
      </c>
      <c r="O434" s="21">
        <v>10</v>
      </c>
      <c r="P434" s="57" t="s">
        <v>397</v>
      </c>
      <c r="Q434" s="58">
        <v>0.84</v>
      </c>
      <c r="R434" s="53">
        <f t="shared" si="15"/>
        <v>2.033898305084746E-2</v>
      </c>
      <c r="T434" s="21">
        <v>10</v>
      </c>
      <c r="U434" s="56" t="s">
        <v>99</v>
      </c>
      <c r="V434" s="49">
        <v>0.04</v>
      </c>
      <c r="W434" s="54">
        <f t="shared" si="16"/>
        <v>3.0534351145038168E-3</v>
      </c>
    </row>
    <row r="435" spans="2:32" ht="14" customHeight="1" x14ac:dyDescent="0.25">
      <c r="B435" s="21">
        <v>11</v>
      </c>
      <c r="C435" s="21" t="s">
        <v>397</v>
      </c>
      <c r="D435" s="50">
        <v>0.84</v>
      </c>
      <c r="E435" s="16">
        <f t="shared" si="17"/>
        <v>1.5412844036697248E-2</v>
      </c>
      <c r="F435" s="55"/>
      <c r="G435" s="55">
        <f>D435/D455-1</f>
        <v>0.44827586206896552</v>
      </c>
      <c r="H435" s="50"/>
      <c r="I435" s="15">
        <v>11</v>
      </c>
      <c r="J435" s="21" t="s">
        <v>397</v>
      </c>
      <c r="K435" s="57">
        <v>3.67</v>
      </c>
      <c r="L435" s="56">
        <f t="shared" si="14"/>
        <v>1.0588574725908828E-2</v>
      </c>
      <c r="M435" s="16"/>
      <c r="O435" s="21">
        <v>11</v>
      </c>
      <c r="P435" s="57" t="s">
        <v>326</v>
      </c>
      <c r="Q435" s="59">
        <v>0.41</v>
      </c>
      <c r="R435" s="53">
        <f t="shared" si="15"/>
        <v>9.9273607748184018E-3</v>
      </c>
      <c r="T435" s="21">
        <v>11</v>
      </c>
      <c r="U435" s="56" t="s">
        <v>355</v>
      </c>
      <c r="V435" s="49">
        <v>0.01</v>
      </c>
      <c r="W435" s="54">
        <f t="shared" si="16"/>
        <v>7.6335877862595419E-4</v>
      </c>
      <c r="Z435" s="47"/>
      <c r="AD435" s="227"/>
      <c r="AF435" s="47"/>
    </row>
    <row r="436" spans="2:32" ht="14" customHeight="1" x14ac:dyDescent="0.25">
      <c r="B436" s="21">
        <v>12</v>
      </c>
      <c r="C436" s="21" t="s">
        <v>326</v>
      </c>
      <c r="D436" s="50">
        <v>0.41</v>
      </c>
      <c r="E436" s="16">
        <f t="shared" si="17"/>
        <v>7.5229357798165131E-3</v>
      </c>
      <c r="F436" s="55">
        <f>D436/D682-1</f>
        <v>0.57692307692307687</v>
      </c>
      <c r="G436" s="55">
        <f>D436/D458-1</f>
        <v>0.6399999999999999</v>
      </c>
      <c r="H436" s="50"/>
      <c r="I436" s="15">
        <v>12</v>
      </c>
      <c r="J436" s="21" t="s">
        <v>357</v>
      </c>
      <c r="K436" s="57">
        <v>2.44</v>
      </c>
      <c r="L436" s="56">
        <f t="shared" si="14"/>
        <v>7.0398153491055965E-3</v>
      </c>
      <c r="M436" s="16">
        <f>K436/K701-1</f>
        <v>-0.13780918727915203</v>
      </c>
      <c r="O436" s="21">
        <v>12</v>
      </c>
      <c r="P436" s="57" t="s">
        <v>418</v>
      </c>
      <c r="Q436" s="58">
        <v>0.28999999999999998</v>
      </c>
      <c r="R436" s="53">
        <f t="shared" si="15"/>
        <v>7.0217917675544795E-3</v>
      </c>
      <c r="T436" s="21">
        <v>12</v>
      </c>
      <c r="U436" s="56" t="s">
        <v>329</v>
      </c>
      <c r="V436" s="49">
        <v>0</v>
      </c>
      <c r="W436" s="54">
        <f t="shared" si="16"/>
        <v>0</v>
      </c>
    </row>
    <row r="437" spans="2:32" ht="14" customHeight="1" x14ac:dyDescent="0.25">
      <c r="B437" s="21">
        <v>13</v>
      </c>
      <c r="C437" s="21" t="s">
        <v>418</v>
      </c>
      <c r="D437" s="50">
        <v>0.28999999999999998</v>
      </c>
      <c r="E437" s="16">
        <f t="shared" si="17"/>
        <v>5.3211009174311923E-3</v>
      </c>
      <c r="F437" s="55"/>
      <c r="G437" s="55">
        <f>D437/D457-1</f>
        <v>0.15999999999999992</v>
      </c>
      <c r="I437" s="15">
        <v>13</v>
      </c>
      <c r="J437" s="21" t="s">
        <v>326</v>
      </c>
      <c r="K437" s="57">
        <v>1.68</v>
      </c>
      <c r="L437" s="56">
        <f t="shared" si="14"/>
        <v>4.8470859780727054E-3</v>
      </c>
      <c r="M437" s="16">
        <f>K437/K682-1</f>
        <v>0.4358974358974359</v>
      </c>
      <c r="O437" s="21">
        <v>13</v>
      </c>
      <c r="P437" s="57" t="s">
        <v>325</v>
      </c>
      <c r="Q437" s="59">
        <v>0.27</v>
      </c>
      <c r="R437" s="53">
        <f t="shared" si="15"/>
        <v>6.5375302663438269E-3</v>
      </c>
      <c r="T437" s="21">
        <v>13</v>
      </c>
      <c r="U437" s="56" t="s">
        <v>392</v>
      </c>
      <c r="V437" s="49">
        <v>0</v>
      </c>
      <c r="W437" s="54">
        <f t="shared" si="16"/>
        <v>0</v>
      </c>
      <c r="Z437" s="47"/>
      <c r="AD437" s="227"/>
      <c r="AF437" s="47"/>
    </row>
    <row r="438" spans="2:32" ht="14" customHeight="1" x14ac:dyDescent="0.25">
      <c r="B438" s="21">
        <v>14</v>
      </c>
      <c r="C438" s="21" t="s">
        <v>325</v>
      </c>
      <c r="D438" s="50">
        <v>0.27</v>
      </c>
      <c r="E438" s="16">
        <f t="shared" si="17"/>
        <v>4.9541284403669724E-3</v>
      </c>
      <c r="F438" s="55"/>
      <c r="G438" s="55">
        <f>D438/D459-1</f>
        <v>1.4545454545454546</v>
      </c>
      <c r="H438" s="50"/>
      <c r="I438" s="15">
        <v>14</v>
      </c>
      <c r="J438" s="21" t="s">
        <v>418</v>
      </c>
      <c r="K438" s="57">
        <v>0.83</v>
      </c>
      <c r="L438" s="56">
        <f t="shared" si="14"/>
        <v>2.3946912867859201E-3</v>
      </c>
      <c r="M438" s="16"/>
      <c r="O438" s="21">
        <v>14</v>
      </c>
      <c r="P438" s="57" t="s">
        <v>427</v>
      </c>
      <c r="Q438" s="59">
        <v>0.11</v>
      </c>
      <c r="R438" s="53">
        <f t="shared" si="15"/>
        <v>2.663438256658596E-3</v>
      </c>
      <c r="T438" s="21">
        <v>14</v>
      </c>
      <c r="U438" s="56" t="s">
        <v>356</v>
      </c>
      <c r="V438" s="49">
        <v>0</v>
      </c>
      <c r="W438" s="54">
        <f t="shared" si="16"/>
        <v>0</v>
      </c>
    </row>
    <row r="439" spans="2:32" ht="14" customHeight="1" x14ac:dyDescent="0.25">
      <c r="B439" s="21">
        <v>15</v>
      </c>
      <c r="C439" s="21" t="s">
        <v>357</v>
      </c>
      <c r="D439" s="50">
        <v>0.17</v>
      </c>
      <c r="E439" s="16">
        <f t="shared" si="17"/>
        <v>3.1192660550458718E-3</v>
      </c>
      <c r="F439" s="55">
        <f>D439/D680-1</f>
        <v>-0.65306122448979587</v>
      </c>
      <c r="G439" s="55">
        <f>D439/D456-1</f>
        <v>-0.4137931034482758</v>
      </c>
      <c r="H439" s="50"/>
      <c r="I439" s="15">
        <v>15</v>
      </c>
      <c r="J439" s="21" t="s">
        <v>325</v>
      </c>
      <c r="K439" s="57">
        <v>0.74</v>
      </c>
      <c r="L439" s="56">
        <f t="shared" si="14"/>
        <v>2.135025966532025E-3</v>
      </c>
      <c r="M439" s="16"/>
      <c r="O439" s="21">
        <v>15</v>
      </c>
      <c r="P439" s="57" t="s">
        <v>408</v>
      </c>
      <c r="Q439" s="58">
        <v>0.11</v>
      </c>
      <c r="R439" s="53">
        <f t="shared" si="15"/>
        <v>2.663438256658596E-3</v>
      </c>
      <c r="T439" s="21">
        <v>15</v>
      </c>
      <c r="U439" s="56" t="s">
        <v>441</v>
      </c>
      <c r="V439" s="49">
        <v>0</v>
      </c>
      <c r="W439" s="54">
        <f t="shared" si="16"/>
        <v>0</v>
      </c>
      <c r="Z439" s="47"/>
      <c r="AD439" s="227"/>
      <c r="AF439" s="47"/>
    </row>
    <row r="440" spans="2:32" ht="14" customHeight="1" x14ac:dyDescent="0.25">
      <c r="B440" s="21"/>
      <c r="C440" s="21" t="s">
        <v>77</v>
      </c>
      <c r="D440" s="50">
        <f>D441-SUM(D425:D439)</f>
        <v>0.47999999999998977</v>
      </c>
      <c r="E440" s="16">
        <f t="shared" si="17"/>
        <v>8.8073394495410962E-3</v>
      </c>
      <c r="F440" s="52"/>
      <c r="G440" s="55"/>
      <c r="H440" s="50"/>
      <c r="I440" s="21"/>
      <c r="J440" s="21" t="s">
        <v>77</v>
      </c>
      <c r="K440" s="57">
        <f>K441-SUM(K425:K439)</f>
        <v>4.839999999999975</v>
      </c>
      <c r="L440" s="56">
        <f t="shared" si="14"/>
        <v>1.396422388920939E-2</v>
      </c>
      <c r="M440" s="16"/>
      <c r="P440" s="21" t="s">
        <v>77</v>
      </c>
      <c r="Q440" s="50">
        <f>Q441-SUM(Q425:Q439)</f>
        <v>0.20999999999999375</v>
      </c>
      <c r="R440" s="53">
        <f t="shared" si="15"/>
        <v>5.0847457627117131E-3</v>
      </c>
      <c r="T440" s="56"/>
      <c r="U440" s="21" t="s">
        <v>77</v>
      </c>
      <c r="V440" s="50">
        <v>0</v>
      </c>
      <c r="W440" s="54">
        <f t="shared" si="16"/>
        <v>0</v>
      </c>
    </row>
    <row r="441" spans="2:32" ht="14" customHeight="1" x14ac:dyDescent="0.25">
      <c r="B441" s="21"/>
      <c r="C441" s="21" t="s">
        <v>78</v>
      </c>
      <c r="D441" s="50">
        <v>54.5</v>
      </c>
      <c r="E441" s="16">
        <f t="shared" si="17"/>
        <v>1</v>
      </c>
      <c r="F441" s="52">
        <f>D441/D687-1</f>
        <v>0.49725274725274726</v>
      </c>
      <c r="G441" s="55">
        <f>D441/D461-1</f>
        <v>0.15466101694915246</v>
      </c>
      <c r="H441" s="50"/>
      <c r="I441" s="21"/>
      <c r="J441" s="21" t="s">
        <v>78</v>
      </c>
      <c r="K441" s="57">
        <v>346.6</v>
      </c>
      <c r="L441" s="56">
        <f t="shared" si="14"/>
        <v>1</v>
      </c>
      <c r="M441" s="16">
        <f>K441/K687-1</f>
        <v>0.35549472037544017</v>
      </c>
      <c r="P441" s="21" t="s">
        <v>78</v>
      </c>
      <c r="Q441" s="57">
        <v>41.3</v>
      </c>
      <c r="R441" s="53">
        <f t="shared" si="15"/>
        <v>1</v>
      </c>
      <c r="S441" s="228"/>
      <c r="U441" s="21" t="s">
        <v>78</v>
      </c>
      <c r="V441" s="57">
        <v>13.1</v>
      </c>
      <c r="W441" s="54">
        <f t="shared" si="16"/>
        <v>1</v>
      </c>
      <c r="X441" s="228"/>
      <c r="AC441" s="15"/>
      <c r="AD441" s="15"/>
      <c r="AE441" s="15"/>
      <c r="AF441" s="15"/>
    </row>
    <row r="442" spans="2:32" ht="14" customHeight="1" x14ac:dyDescent="0.25">
      <c r="D442" s="43"/>
      <c r="J442" s="43"/>
      <c r="O442" s="227"/>
      <c r="X442" s="227"/>
      <c r="Z442" s="47"/>
      <c r="AD442" s="227"/>
      <c r="AF442" s="47"/>
    </row>
    <row r="443" spans="2:32" ht="14" customHeight="1" x14ac:dyDescent="0.25">
      <c r="B443" s="15" t="s">
        <v>454</v>
      </c>
      <c r="C443" s="21"/>
      <c r="D443" s="50"/>
      <c r="E443" s="16"/>
      <c r="F443" s="52"/>
      <c r="G443" s="55"/>
      <c r="I443" s="15" t="s">
        <v>455</v>
      </c>
      <c r="O443" s="25" t="s">
        <v>456</v>
      </c>
      <c r="T443" s="25" t="s">
        <v>457</v>
      </c>
      <c r="Z443" s="47"/>
      <c r="AA443" s="25"/>
      <c r="AB443" s="15"/>
      <c r="AC443" s="15"/>
      <c r="AD443" s="15"/>
      <c r="AE443" s="15"/>
      <c r="AF443" s="15"/>
    </row>
    <row r="444" spans="2:32" ht="14" customHeight="1" x14ac:dyDescent="0.25">
      <c r="B444" s="21" t="s">
        <v>334</v>
      </c>
      <c r="C444" s="21" t="s">
        <v>335</v>
      </c>
      <c r="D444" s="9" t="s">
        <v>436</v>
      </c>
      <c r="E444" s="21" t="s">
        <v>337</v>
      </c>
      <c r="F444" s="21" t="s">
        <v>423</v>
      </c>
      <c r="G444" s="21" t="s">
        <v>424</v>
      </c>
      <c r="I444" s="21" t="s">
        <v>334</v>
      </c>
      <c r="J444" s="21" t="s">
        <v>335</v>
      </c>
      <c r="K444" s="9" t="s">
        <v>437</v>
      </c>
      <c r="L444" s="21" t="s">
        <v>337</v>
      </c>
      <c r="M444" s="21" t="s">
        <v>423</v>
      </c>
      <c r="O444" s="21" t="s">
        <v>334</v>
      </c>
      <c r="P444" s="21" t="s">
        <v>335</v>
      </c>
      <c r="Q444" s="50" t="s">
        <v>438</v>
      </c>
      <c r="R444" s="56" t="s">
        <v>384</v>
      </c>
      <c r="S444" s="21"/>
      <c r="T444" s="21" t="s">
        <v>334</v>
      </c>
      <c r="U444" s="56" t="s">
        <v>381</v>
      </c>
      <c r="V444" s="21" t="s">
        <v>438</v>
      </c>
      <c r="W444" s="57" t="s">
        <v>337</v>
      </c>
      <c r="X444" s="21"/>
      <c r="Z444" s="47"/>
      <c r="AA444" s="21"/>
      <c r="AB444" s="21"/>
      <c r="AC444" s="9"/>
      <c r="AD444" s="21"/>
      <c r="AE444" s="21"/>
      <c r="AF444" s="21"/>
    </row>
    <row r="445" spans="2:32" ht="14" customHeight="1" x14ac:dyDescent="0.25">
      <c r="B445" s="21">
        <v>1</v>
      </c>
      <c r="C445" s="21" t="s">
        <v>68</v>
      </c>
      <c r="D445" s="50">
        <v>20.98</v>
      </c>
      <c r="E445" s="16">
        <f>D445/$D$461</f>
        <v>0.44449152542372877</v>
      </c>
      <c r="F445" s="55">
        <f>D445/D693-1</f>
        <v>0.35792880258899684</v>
      </c>
      <c r="G445" s="55">
        <f>D445/D465-1</f>
        <v>8.0329557157569509E-2</v>
      </c>
      <c r="I445" s="15">
        <v>1</v>
      </c>
      <c r="J445" s="21" t="s">
        <v>68</v>
      </c>
      <c r="K445" s="57">
        <v>133.71</v>
      </c>
      <c r="L445" s="56">
        <f t="shared" ref="L445:L461" si="18">K445/$K$461</f>
        <v>0.45775419376925708</v>
      </c>
      <c r="M445" s="16">
        <f t="shared" ref="M445:M450" si="19">K445/K693-1</f>
        <v>0.41566966649020642</v>
      </c>
      <c r="O445" s="21">
        <v>1</v>
      </c>
      <c r="P445" s="57" t="s">
        <v>68</v>
      </c>
      <c r="Q445" s="58">
        <v>12.82</v>
      </c>
      <c r="R445" s="53">
        <f t="shared" ref="R445:R461" si="20">Q445/$Q$461</f>
        <v>0.36628571428571427</v>
      </c>
      <c r="T445" s="21">
        <v>1</v>
      </c>
      <c r="U445" s="56" t="s">
        <v>98</v>
      </c>
      <c r="V445" s="21">
        <f>8.16</f>
        <v>8.16</v>
      </c>
      <c r="W445" s="54">
        <f t="shared" ref="W445:W461" si="21">V445/$V$461</f>
        <v>0.67438016528925626</v>
      </c>
      <c r="Z445" s="47"/>
      <c r="AA445" s="21"/>
      <c r="AB445" s="21"/>
      <c r="AC445" s="50"/>
      <c r="AD445" s="16"/>
      <c r="AE445" s="55"/>
      <c r="AF445" s="55"/>
    </row>
    <row r="446" spans="2:32" ht="14" customHeight="1" x14ac:dyDescent="0.25">
      <c r="B446" s="21">
        <v>2</v>
      </c>
      <c r="C446" s="21" t="s">
        <v>69</v>
      </c>
      <c r="D446" s="50">
        <v>11.78</v>
      </c>
      <c r="E446" s="16">
        <f t="shared" ref="E446:E461" si="22">D446/$D$461</f>
        <v>0.24957627118644066</v>
      </c>
      <c r="F446" s="55">
        <f>D446/D694-1</f>
        <v>0.25185972369819343</v>
      </c>
      <c r="G446" s="55">
        <f>D446/D466-1</f>
        <v>0.25720384204909297</v>
      </c>
      <c r="I446" s="15">
        <v>2</v>
      </c>
      <c r="J446" s="21" t="s">
        <v>69</v>
      </c>
      <c r="K446" s="57">
        <v>71.66</v>
      </c>
      <c r="L446" s="56">
        <f t="shared" si="18"/>
        <v>0.24532694282779866</v>
      </c>
      <c r="M446" s="16">
        <f t="shared" si="19"/>
        <v>0.11672120928782914</v>
      </c>
      <c r="O446" s="21">
        <v>2</v>
      </c>
      <c r="P446" s="57" t="s">
        <v>69</v>
      </c>
      <c r="Q446" s="59">
        <v>11.74</v>
      </c>
      <c r="R446" s="53">
        <f t="shared" si="20"/>
        <v>0.33542857142857141</v>
      </c>
      <c r="T446" s="21">
        <v>2</v>
      </c>
      <c r="U446" s="56" t="s">
        <v>100</v>
      </c>
      <c r="V446" s="21">
        <v>1.1200000000000001</v>
      </c>
      <c r="W446" s="54">
        <f t="shared" si="21"/>
        <v>9.2561983471074388E-2</v>
      </c>
      <c r="AA446" s="21"/>
      <c r="AB446" s="21"/>
      <c r="AC446" s="50"/>
      <c r="AD446" s="16"/>
      <c r="AE446" s="55"/>
      <c r="AF446" s="55"/>
    </row>
    <row r="447" spans="2:32" ht="14" customHeight="1" x14ac:dyDescent="0.25">
      <c r="B447" s="21">
        <v>3</v>
      </c>
      <c r="C447" s="21" t="s">
        <v>71</v>
      </c>
      <c r="D447" s="50">
        <v>3.47</v>
      </c>
      <c r="E447" s="16">
        <f t="shared" si="22"/>
        <v>7.3516949152542366E-2</v>
      </c>
      <c r="F447" s="55">
        <f>D447/D695-1</f>
        <v>2.6627218934911268E-2</v>
      </c>
      <c r="G447" s="55">
        <f>D447/D467-1</f>
        <v>0.1802721088435375</v>
      </c>
      <c r="H447" s="50"/>
      <c r="I447" s="15">
        <v>3</v>
      </c>
      <c r="J447" s="21" t="s">
        <v>71</v>
      </c>
      <c r="K447" s="57">
        <v>20.23</v>
      </c>
      <c r="L447" s="56">
        <f t="shared" si="18"/>
        <v>6.9257103731598768E-2</v>
      </c>
      <c r="M447" s="16">
        <f t="shared" si="19"/>
        <v>5.694879832810873E-2</v>
      </c>
      <c r="O447" s="21">
        <v>3</v>
      </c>
      <c r="P447" s="57" t="s">
        <v>71</v>
      </c>
      <c r="Q447" s="58">
        <v>2.35</v>
      </c>
      <c r="R447" s="53">
        <f t="shared" si="20"/>
        <v>6.7142857142857143E-2</v>
      </c>
      <c r="T447" s="21">
        <v>3</v>
      </c>
      <c r="U447" s="56" t="s">
        <v>172</v>
      </c>
      <c r="V447" s="21">
        <v>0.99</v>
      </c>
      <c r="W447" s="54">
        <f t="shared" si="21"/>
        <v>8.1818181818181818E-2</v>
      </c>
      <c r="Z447" s="47"/>
      <c r="AA447" s="21"/>
      <c r="AB447" s="21"/>
      <c r="AC447" s="50"/>
      <c r="AD447" s="16"/>
      <c r="AE447" s="55"/>
      <c r="AF447" s="55"/>
    </row>
    <row r="448" spans="2:32" ht="14" customHeight="1" x14ac:dyDescent="0.25">
      <c r="B448" s="21">
        <v>4</v>
      </c>
      <c r="C448" s="21" t="s">
        <v>70</v>
      </c>
      <c r="D448" s="50">
        <v>2.16</v>
      </c>
      <c r="E448" s="16">
        <f t="shared" si="22"/>
        <v>4.576271186440678E-2</v>
      </c>
      <c r="F448" s="55">
        <f>D448/D696-1</f>
        <v>0.74193548387096797</v>
      </c>
      <c r="G448" s="55">
        <f>D448/D468-1</f>
        <v>0.24855491329479773</v>
      </c>
      <c r="H448" s="50"/>
      <c r="I448" s="15">
        <v>4</v>
      </c>
      <c r="J448" s="21" t="s">
        <v>73</v>
      </c>
      <c r="K448" s="57">
        <v>11.28</v>
      </c>
      <c r="L448" s="56">
        <f t="shared" si="18"/>
        <v>3.8616912016432726E-2</v>
      </c>
      <c r="M448" s="16">
        <f t="shared" si="19"/>
        <v>0.23278688524590163</v>
      </c>
      <c r="O448" s="21">
        <v>4</v>
      </c>
      <c r="P448" s="57" t="s">
        <v>70</v>
      </c>
      <c r="Q448" s="59">
        <v>1.86</v>
      </c>
      <c r="R448" s="53">
        <f t="shared" si="20"/>
        <v>5.3142857142857144E-2</v>
      </c>
      <c r="T448" s="21">
        <v>4</v>
      </c>
      <c r="U448" s="21" t="s">
        <v>74</v>
      </c>
      <c r="V448" s="21">
        <v>0.45</v>
      </c>
      <c r="W448" s="54">
        <f t="shared" si="21"/>
        <v>3.71900826446281E-2</v>
      </c>
      <c r="AA448" s="21"/>
      <c r="AB448" s="21"/>
      <c r="AC448" s="50"/>
      <c r="AD448" s="16"/>
      <c r="AE448" s="55"/>
      <c r="AF448" s="55"/>
    </row>
    <row r="449" spans="2:32" ht="14" customHeight="1" x14ac:dyDescent="0.25">
      <c r="B449" s="21">
        <v>5</v>
      </c>
      <c r="C449" s="21" t="s">
        <v>129</v>
      </c>
      <c r="D449" s="50">
        <v>1.58</v>
      </c>
      <c r="E449" s="16">
        <f t="shared" si="22"/>
        <v>3.347457627118644E-2</v>
      </c>
      <c r="F449" s="55">
        <f>D449/D701-1</f>
        <v>1.46875</v>
      </c>
      <c r="G449" s="55">
        <f>D449/D470-1</f>
        <v>0.17037037037037028</v>
      </c>
      <c r="H449" s="50"/>
      <c r="I449" s="15">
        <v>5</v>
      </c>
      <c r="J449" s="21" t="s">
        <v>70</v>
      </c>
      <c r="K449" s="57">
        <v>11.06</v>
      </c>
      <c r="L449" s="56">
        <f t="shared" si="18"/>
        <v>3.7863745292707973E-2</v>
      </c>
      <c r="M449" s="16">
        <f t="shared" si="19"/>
        <v>0.29508196721311486</v>
      </c>
      <c r="O449" s="21">
        <v>5</v>
      </c>
      <c r="P449" s="57" t="s">
        <v>129</v>
      </c>
      <c r="Q449" s="59">
        <v>1.21</v>
      </c>
      <c r="R449" s="53">
        <f t="shared" si="20"/>
        <v>3.4571428571428572E-2</v>
      </c>
      <c r="T449" s="21">
        <v>5</v>
      </c>
      <c r="U449" s="56" t="s">
        <v>181</v>
      </c>
      <c r="V449" s="21">
        <v>0.37</v>
      </c>
      <c r="W449" s="54">
        <f t="shared" si="21"/>
        <v>3.0578512396694214E-2</v>
      </c>
      <c r="Z449" s="47"/>
      <c r="AA449" s="21"/>
      <c r="AB449" s="21"/>
      <c r="AC449" s="50"/>
      <c r="AD449" s="16"/>
      <c r="AE449" s="55"/>
      <c r="AF449" s="55"/>
    </row>
    <row r="450" spans="2:32" ht="14" customHeight="1" x14ac:dyDescent="0.25">
      <c r="B450" s="21">
        <v>6</v>
      </c>
      <c r="C450" s="21" t="s">
        <v>73</v>
      </c>
      <c r="D450" s="50">
        <v>1.28</v>
      </c>
      <c r="E450" s="16">
        <f t="shared" si="22"/>
        <v>2.7118644067796609E-2</v>
      </c>
      <c r="F450" s="55">
        <f>D450/D697-1</f>
        <v>4.9180327868852514E-2</v>
      </c>
      <c r="G450" s="55">
        <f>D450/D469-1</f>
        <v>-0.16339869281045749</v>
      </c>
      <c r="I450" s="15">
        <v>6</v>
      </c>
      <c r="J450" s="21" t="s">
        <v>129</v>
      </c>
      <c r="K450" s="57">
        <v>8.89</v>
      </c>
      <c r="L450" s="56">
        <f t="shared" si="18"/>
        <v>3.0434782608695653E-2</v>
      </c>
      <c r="M450" s="16">
        <f t="shared" si="19"/>
        <v>0.7995951417004048</v>
      </c>
      <c r="O450" s="21">
        <v>6</v>
      </c>
      <c r="P450" s="57" t="s">
        <v>73</v>
      </c>
      <c r="Q450" s="59">
        <v>1</v>
      </c>
      <c r="R450" s="53">
        <f t="shared" si="20"/>
        <v>2.8571428571428571E-2</v>
      </c>
      <c r="T450" s="21">
        <v>6</v>
      </c>
      <c r="U450" s="56" t="s">
        <v>101</v>
      </c>
      <c r="V450" s="21">
        <v>0.31</v>
      </c>
      <c r="W450" s="54">
        <f t="shared" si="21"/>
        <v>2.5619834710743802E-2</v>
      </c>
      <c r="AA450" s="21"/>
      <c r="AB450" s="21"/>
      <c r="AC450" s="50"/>
      <c r="AD450" s="45"/>
      <c r="AE450" s="50"/>
      <c r="AF450" s="50"/>
    </row>
    <row r="451" spans="2:32" ht="14" customHeight="1" x14ac:dyDescent="0.25">
      <c r="B451" s="21">
        <v>7</v>
      </c>
      <c r="C451" s="21" t="s">
        <v>74</v>
      </c>
      <c r="D451" s="50">
        <v>1.26</v>
      </c>
      <c r="E451" s="16">
        <f t="shared" si="22"/>
        <v>2.6694915254237287E-2</v>
      </c>
      <c r="F451" s="55">
        <f>D451/D698-1</f>
        <v>0.59493670886075933</v>
      </c>
      <c r="G451" s="55">
        <f>D451/D471-1</f>
        <v>-1.5625E-2</v>
      </c>
      <c r="H451" s="50"/>
      <c r="I451" s="15">
        <v>7</v>
      </c>
      <c r="J451" s="21" t="s">
        <v>74</v>
      </c>
      <c r="K451" s="57">
        <v>8.69</v>
      </c>
      <c r="L451" s="56">
        <f t="shared" si="18"/>
        <v>2.9750085587127693E-2</v>
      </c>
      <c r="M451" s="16">
        <f>K451/K700-1</f>
        <v>1.5409356725146197</v>
      </c>
      <c r="O451" s="21">
        <v>7</v>
      </c>
      <c r="P451" s="57" t="s">
        <v>322</v>
      </c>
      <c r="Q451" s="58">
        <v>0.88</v>
      </c>
      <c r="R451" s="53">
        <f t="shared" si="20"/>
        <v>2.5142857142857144E-2</v>
      </c>
      <c r="T451" s="21">
        <v>7</v>
      </c>
      <c r="U451" s="56" t="s">
        <v>185</v>
      </c>
      <c r="V451" s="49">
        <v>0.28999999999999998</v>
      </c>
      <c r="W451" s="54">
        <f t="shared" si="21"/>
        <v>2.3966942148760328E-2</v>
      </c>
      <c r="Z451" s="47"/>
      <c r="AA451" s="21"/>
      <c r="AB451" s="21"/>
      <c r="AC451" s="50"/>
      <c r="AD451" s="16"/>
      <c r="AE451" s="52"/>
      <c r="AF451" s="55"/>
    </row>
    <row r="452" spans="2:32" ht="14" customHeight="1" x14ac:dyDescent="0.25">
      <c r="B452" s="21">
        <v>8</v>
      </c>
      <c r="C452" s="15" t="s">
        <v>172</v>
      </c>
      <c r="D452" s="50">
        <v>0.99</v>
      </c>
      <c r="E452" s="16">
        <f t="shared" si="22"/>
        <v>2.097457627118644E-2</v>
      </c>
      <c r="F452" s="55">
        <f>D452/D700-1</f>
        <v>0.52307692307692299</v>
      </c>
      <c r="G452" s="55">
        <f>D452/D474-1</f>
        <v>0.76785714285714257</v>
      </c>
      <c r="H452" s="50"/>
      <c r="I452" s="15">
        <v>8</v>
      </c>
      <c r="J452" s="21" t="s">
        <v>322</v>
      </c>
      <c r="K452" s="57">
        <v>5.37</v>
      </c>
      <c r="L452" s="56">
        <f t="shared" si="18"/>
        <v>1.8384115029099622E-2</v>
      </c>
      <c r="M452" s="16">
        <f>K452/K703-1</f>
        <v>1.6323529411764706</v>
      </c>
      <c r="O452" s="21">
        <v>8</v>
      </c>
      <c r="P452" s="57" t="s">
        <v>323</v>
      </c>
      <c r="Q452" s="58">
        <v>0.85</v>
      </c>
      <c r="R452" s="53">
        <f t="shared" si="20"/>
        <v>2.4285714285714285E-2</v>
      </c>
      <c r="T452" s="21">
        <v>8</v>
      </c>
      <c r="U452" s="56" t="s">
        <v>103</v>
      </c>
      <c r="V452" s="21">
        <v>0.28000000000000003</v>
      </c>
      <c r="W452" s="54">
        <f t="shared" si="21"/>
        <v>2.3140495867768597E-2</v>
      </c>
    </row>
    <row r="453" spans="2:32" ht="14" customHeight="1" x14ac:dyDescent="0.25">
      <c r="B453" s="21">
        <v>9</v>
      </c>
      <c r="C453" s="21" t="s">
        <v>323</v>
      </c>
      <c r="D453" s="50">
        <v>0.96</v>
      </c>
      <c r="E453" s="16">
        <f t="shared" si="22"/>
        <v>2.0338983050847456E-2</v>
      </c>
      <c r="F453" s="55">
        <f>D453/D699-1</f>
        <v>0.31506849315068486</v>
      </c>
      <c r="G453" s="55">
        <f>D453/D472-1</f>
        <v>0.21518987341772133</v>
      </c>
      <c r="H453" s="50"/>
      <c r="I453" s="15">
        <v>9</v>
      </c>
      <c r="J453" s="15" t="s">
        <v>370</v>
      </c>
      <c r="K453" s="57">
        <v>4.99</v>
      </c>
      <c r="L453" s="56">
        <f t="shared" si="18"/>
        <v>1.7083190688120507E-2</v>
      </c>
      <c r="M453" s="16">
        <f>K453/K724-1</f>
        <v>1.7569060773480665</v>
      </c>
      <c r="O453" s="21">
        <v>9</v>
      </c>
      <c r="P453" s="57" t="s">
        <v>74</v>
      </c>
      <c r="Q453" s="58">
        <v>0.81</v>
      </c>
      <c r="R453" s="53">
        <f t="shared" si="20"/>
        <v>2.3142857142857146E-2</v>
      </c>
      <c r="T453" s="21">
        <v>9</v>
      </c>
      <c r="U453" s="56" t="s">
        <v>370</v>
      </c>
      <c r="V453" s="21">
        <v>0.12</v>
      </c>
      <c r="W453" s="54">
        <f t="shared" si="21"/>
        <v>9.9173553719008271E-3</v>
      </c>
      <c r="Z453" s="47"/>
      <c r="AD453" s="227"/>
      <c r="AF453" s="47"/>
    </row>
    <row r="454" spans="2:32" ht="14" customHeight="1" x14ac:dyDescent="0.25">
      <c r="B454" s="21">
        <v>10</v>
      </c>
      <c r="C454" s="21" t="s">
        <v>322</v>
      </c>
      <c r="D454" s="50">
        <v>0.88</v>
      </c>
      <c r="E454" s="16">
        <f t="shared" si="22"/>
        <v>1.8644067796610167E-2</v>
      </c>
      <c r="F454" s="55">
        <f>D454/D703-1</f>
        <v>1.0465116279069768</v>
      </c>
      <c r="G454" s="55">
        <f>D454/D473-1</f>
        <v>0.15789473684210531</v>
      </c>
      <c r="H454" s="50"/>
      <c r="I454" s="15">
        <v>10</v>
      </c>
      <c r="J454" s="21" t="s">
        <v>127</v>
      </c>
      <c r="K454" s="57">
        <v>4.51</v>
      </c>
      <c r="L454" s="56">
        <f t="shared" si="18"/>
        <v>1.543991783635741E-2</v>
      </c>
      <c r="M454" s="16">
        <f>K454/K699-1</f>
        <v>0.1331658291457285</v>
      </c>
      <c r="O454" s="21">
        <v>10</v>
      </c>
      <c r="P454" s="57" t="s">
        <v>397</v>
      </c>
      <c r="Q454" s="58">
        <v>0.57999999999999996</v>
      </c>
      <c r="R454" s="53">
        <f t="shared" si="20"/>
        <v>1.657142857142857E-2</v>
      </c>
      <c r="T454" s="21">
        <v>10</v>
      </c>
      <c r="U454" s="56" t="s">
        <v>99</v>
      </c>
      <c r="V454" s="49">
        <v>0.04</v>
      </c>
      <c r="W454" s="54">
        <f t="shared" si="21"/>
        <v>3.3057851239669425E-3</v>
      </c>
    </row>
    <row r="455" spans="2:32" ht="14" customHeight="1" x14ac:dyDescent="0.25">
      <c r="B455" s="21">
        <v>11</v>
      </c>
      <c r="C455" s="21" t="s">
        <v>397</v>
      </c>
      <c r="D455" s="50">
        <v>0.57999999999999996</v>
      </c>
      <c r="E455" s="16">
        <f t="shared" si="22"/>
        <v>1.2288135593220338E-2</v>
      </c>
      <c r="F455" s="55"/>
      <c r="G455" s="55">
        <f>D455/D475-1</f>
        <v>0.87096774193548376</v>
      </c>
      <c r="H455" s="50"/>
      <c r="I455" s="15">
        <v>11</v>
      </c>
      <c r="J455" s="21" t="s">
        <v>397</v>
      </c>
      <c r="K455" s="57">
        <v>2.83</v>
      </c>
      <c r="L455" s="56">
        <f t="shared" si="18"/>
        <v>9.6884628551865797E-3</v>
      </c>
      <c r="M455" s="16"/>
      <c r="O455" s="21">
        <v>11</v>
      </c>
      <c r="P455" s="57" t="s">
        <v>418</v>
      </c>
      <c r="Q455" s="59">
        <v>0.25</v>
      </c>
      <c r="R455" s="53">
        <f t="shared" si="20"/>
        <v>7.1428571428571426E-3</v>
      </c>
      <c r="T455" s="21">
        <v>11</v>
      </c>
      <c r="U455" s="56" t="s">
        <v>329</v>
      </c>
      <c r="V455" s="49">
        <v>0.01</v>
      </c>
      <c r="W455" s="54">
        <f t="shared" si="21"/>
        <v>8.2644628099173563E-4</v>
      </c>
      <c r="Z455" s="47"/>
      <c r="AD455" s="227"/>
      <c r="AF455" s="47"/>
    </row>
    <row r="456" spans="2:32" ht="14" customHeight="1" x14ac:dyDescent="0.25">
      <c r="B456" s="21">
        <v>12</v>
      </c>
      <c r="C456" s="21" t="s">
        <v>357</v>
      </c>
      <c r="D456" s="50">
        <v>0.28999999999999998</v>
      </c>
      <c r="E456" s="16">
        <f t="shared" si="22"/>
        <v>6.1440677966101689E-3</v>
      </c>
      <c r="F456" s="55">
        <f>D456/D702-1</f>
        <v>-0.45283018867924529</v>
      </c>
      <c r="G456" s="55">
        <f>D456/D476-1</f>
        <v>0.26086956521739113</v>
      </c>
      <c r="H456" s="50"/>
      <c r="I456" s="15">
        <v>12</v>
      </c>
      <c r="J456" s="21" t="s">
        <v>357</v>
      </c>
      <c r="K456" s="57">
        <v>2.27</v>
      </c>
      <c r="L456" s="56">
        <f t="shared" si="18"/>
        <v>7.7713111947963018E-3</v>
      </c>
      <c r="M456" s="16">
        <f>K456/K701-1</f>
        <v>-0.19787985865724378</v>
      </c>
      <c r="O456" s="21">
        <v>12</v>
      </c>
      <c r="P456" s="57" t="s">
        <v>326</v>
      </c>
      <c r="Q456" s="58">
        <v>0.24</v>
      </c>
      <c r="R456" s="53">
        <f t="shared" si="20"/>
        <v>6.8571428571428568E-3</v>
      </c>
      <c r="T456" s="21">
        <v>12</v>
      </c>
      <c r="U456" s="56" t="s">
        <v>355</v>
      </c>
      <c r="V456" s="49">
        <v>0.01</v>
      </c>
      <c r="W456" s="54">
        <f t="shared" si="21"/>
        <v>8.2644628099173563E-4</v>
      </c>
    </row>
    <row r="457" spans="2:32" ht="14" customHeight="1" x14ac:dyDescent="0.25">
      <c r="B457" s="21">
        <v>13</v>
      </c>
      <c r="C457" s="21" t="s">
        <v>418</v>
      </c>
      <c r="D457" s="50">
        <v>0.25</v>
      </c>
      <c r="E457" s="16">
        <f t="shared" si="22"/>
        <v>5.2966101694915252E-3</v>
      </c>
      <c r="F457" s="55"/>
      <c r="G457" s="55">
        <f>D457/D477-1</f>
        <v>0.19047619047619047</v>
      </c>
      <c r="I457" s="15">
        <v>13</v>
      </c>
      <c r="J457" s="21" t="s">
        <v>326</v>
      </c>
      <c r="K457" s="57">
        <v>1.27</v>
      </c>
      <c r="L457" s="56">
        <f t="shared" si="18"/>
        <v>4.3478260869565218E-3</v>
      </c>
      <c r="M457" s="16">
        <f>K457/K704-1</f>
        <v>0.39560439560439553</v>
      </c>
      <c r="O457" s="21">
        <v>13</v>
      </c>
      <c r="P457" s="57" t="s">
        <v>325</v>
      </c>
      <c r="Q457" s="59">
        <v>0.11</v>
      </c>
      <c r="R457" s="53">
        <f t="shared" si="20"/>
        <v>3.142857142857143E-3</v>
      </c>
      <c r="T457" s="21">
        <v>13</v>
      </c>
      <c r="U457" s="56" t="s">
        <v>458</v>
      </c>
      <c r="V457" s="49">
        <v>0</v>
      </c>
      <c r="W457" s="54">
        <f t="shared" si="21"/>
        <v>0</v>
      </c>
      <c r="Z457" s="47"/>
      <c r="AD457" s="227"/>
      <c r="AF457" s="47"/>
    </row>
    <row r="458" spans="2:32" ht="14" customHeight="1" x14ac:dyDescent="0.25">
      <c r="B458" s="21">
        <v>14</v>
      </c>
      <c r="C458" s="21" t="s">
        <v>326</v>
      </c>
      <c r="D458" s="50">
        <v>0.25</v>
      </c>
      <c r="E458" s="16">
        <f t="shared" si="22"/>
        <v>5.2966101694915252E-3</v>
      </c>
      <c r="F458" s="55">
        <f>D458/D704-1</f>
        <v>0.13636363636363646</v>
      </c>
      <c r="G458" s="55">
        <f>D458/D478-1</f>
        <v>0.47058823529411753</v>
      </c>
      <c r="H458" s="50"/>
      <c r="I458" s="15">
        <v>14</v>
      </c>
      <c r="J458" s="21" t="s">
        <v>418</v>
      </c>
      <c r="K458" s="57">
        <v>0.54</v>
      </c>
      <c r="L458" s="56">
        <f t="shared" si="18"/>
        <v>1.8486819582334817E-3</v>
      </c>
      <c r="M458" s="16"/>
      <c r="O458" s="21">
        <v>14</v>
      </c>
      <c r="P458" s="57" t="s">
        <v>408</v>
      </c>
      <c r="Q458" s="59">
        <v>0.09</v>
      </c>
      <c r="R458" s="53">
        <f t="shared" si="20"/>
        <v>2.5714285714285713E-3</v>
      </c>
      <c r="T458" s="21">
        <v>14</v>
      </c>
      <c r="U458" s="56" t="s">
        <v>441</v>
      </c>
      <c r="V458" s="49">
        <v>0</v>
      </c>
      <c r="W458" s="54">
        <f t="shared" si="21"/>
        <v>0</v>
      </c>
    </row>
    <row r="459" spans="2:32" ht="14" customHeight="1" x14ac:dyDescent="0.25">
      <c r="B459" s="21">
        <v>15</v>
      </c>
      <c r="C459" s="21" t="s">
        <v>325</v>
      </c>
      <c r="D459" s="50">
        <v>0.11</v>
      </c>
      <c r="E459" s="16">
        <f t="shared" si="22"/>
        <v>2.3305084745762709E-3</v>
      </c>
      <c r="F459" s="55"/>
      <c r="G459" s="55"/>
      <c r="H459" s="50"/>
      <c r="I459" s="15">
        <v>15</v>
      </c>
      <c r="J459" s="21" t="s">
        <v>325</v>
      </c>
      <c r="K459" s="57">
        <v>0.47</v>
      </c>
      <c r="L459" s="56">
        <f t="shared" si="18"/>
        <v>1.6090380006846968E-3</v>
      </c>
      <c r="M459" s="16"/>
      <c r="O459" s="21">
        <v>15</v>
      </c>
      <c r="P459" s="57" t="s">
        <v>426</v>
      </c>
      <c r="Q459" s="58">
        <v>7.0000000000000007E-2</v>
      </c>
      <c r="R459" s="53">
        <f t="shared" si="20"/>
        <v>2E-3</v>
      </c>
      <c r="T459" s="21">
        <v>15</v>
      </c>
      <c r="U459" s="56" t="s">
        <v>399</v>
      </c>
      <c r="V459" s="49">
        <v>0</v>
      </c>
      <c r="W459" s="54">
        <f t="shared" si="21"/>
        <v>0</v>
      </c>
      <c r="Z459" s="47"/>
      <c r="AD459" s="227"/>
      <c r="AF459" s="47"/>
    </row>
    <row r="460" spans="2:32" ht="14" customHeight="1" x14ac:dyDescent="0.25">
      <c r="B460" s="21"/>
      <c r="C460" s="21" t="s">
        <v>77</v>
      </c>
      <c r="D460" s="50">
        <f>D461-SUM(D445:D459)</f>
        <v>0.38000000000000256</v>
      </c>
      <c r="E460" s="16">
        <f t="shared" si="22"/>
        <v>8.0508474576271721E-3</v>
      </c>
      <c r="F460" s="52"/>
      <c r="G460" s="55"/>
      <c r="H460" s="50"/>
      <c r="I460" s="21"/>
      <c r="J460" s="21" t="s">
        <v>77</v>
      </c>
      <c r="K460" s="57">
        <f>K461-SUM(K445:K459)</f>
        <v>4.3300000000000409</v>
      </c>
      <c r="L460" s="56">
        <f t="shared" si="18"/>
        <v>1.4823690516946391E-2</v>
      </c>
      <c r="M460" s="16"/>
      <c r="P460" s="21" t="s">
        <v>77</v>
      </c>
      <c r="Q460" s="50">
        <f>Q461-SUM(Q445:Q459)</f>
        <v>0.13999999999999346</v>
      </c>
      <c r="R460" s="53">
        <f t="shared" si="20"/>
        <v>3.9999999999998136E-3</v>
      </c>
      <c r="T460" s="56"/>
      <c r="U460" s="21" t="s">
        <v>77</v>
      </c>
      <c r="V460" s="50">
        <v>0</v>
      </c>
      <c r="W460" s="54">
        <f t="shared" si="21"/>
        <v>0</v>
      </c>
    </row>
    <row r="461" spans="2:32" ht="14" customHeight="1" x14ac:dyDescent="0.25">
      <c r="B461" s="21"/>
      <c r="C461" s="21" t="s">
        <v>78</v>
      </c>
      <c r="D461" s="50">
        <v>47.2</v>
      </c>
      <c r="E461" s="16">
        <f t="shared" si="22"/>
        <v>1</v>
      </c>
      <c r="F461" s="52">
        <f>D461/D665-1</f>
        <v>0.20408163265306123</v>
      </c>
      <c r="G461" s="55">
        <f>D461/D481-1</f>
        <v>0.13461538461538458</v>
      </c>
      <c r="H461" s="50"/>
      <c r="I461" s="21"/>
      <c r="J461" s="21" t="s">
        <v>78</v>
      </c>
      <c r="K461" s="57">
        <v>292.10000000000002</v>
      </c>
      <c r="L461" s="56">
        <f t="shared" si="18"/>
        <v>1</v>
      </c>
      <c r="M461" s="16">
        <f>K461/K709-1</f>
        <v>0.33257299270073015</v>
      </c>
      <c r="P461" s="21" t="s">
        <v>78</v>
      </c>
      <c r="Q461" s="57">
        <v>35</v>
      </c>
      <c r="R461" s="53">
        <f t="shared" si="20"/>
        <v>1</v>
      </c>
      <c r="S461" s="228"/>
      <c r="U461" s="21" t="s">
        <v>78</v>
      </c>
      <c r="V461" s="57">
        <v>12.1</v>
      </c>
      <c r="W461" s="54">
        <f t="shared" si="21"/>
        <v>1</v>
      </c>
      <c r="X461" s="228"/>
      <c r="AC461" s="15"/>
      <c r="AD461" s="15"/>
      <c r="AE461" s="15"/>
      <c r="AF461" s="15"/>
    </row>
    <row r="462" spans="2:32" ht="14" customHeight="1" x14ac:dyDescent="0.25">
      <c r="B462" s="21"/>
      <c r="C462" s="21"/>
      <c r="D462" s="50"/>
      <c r="E462" s="16"/>
      <c r="F462" s="52"/>
      <c r="G462" s="55"/>
      <c r="H462" s="50"/>
      <c r="I462" s="21"/>
      <c r="J462" s="21"/>
      <c r="K462" s="57"/>
      <c r="L462" s="56"/>
      <c r="M462" s="16"/>
      <c r="O462" s="25"/>
      <c r="T462" s="25"/>
      <c r="Z462" s="47"/>
      <c r="AA462" s="25"/>
      <c r="AB462" s="15"/>
      <c r="AC462" s="15"/>
      <c r="AD462" s="15"/>
      <c r="AE462" s="15"/>
      <c r="AF462" s="15"/>
    </row>
    <row r="463" spans="2:32" ht="14" customHeight="1" x14ac:dyDescent="0.25">
      <c r="B463" s="15" t="s">
        <v>459</v>
      </c>
      <c r="C463" s="21"/>
      <c r="D463" s="50"/>
      <c r="E463" s="16"/>
      <c r="F463" s="52"/>
      <c r="G463" s="55"/>
      <c r="H463" s="50"/>
      <c r="I463" s="15" t="s">
        <v>460</v>
      </c>
      <c r="J463" s="21"/>
      <c r="K463" s="57"/>
      <c r="L463" s="56"/>
      <c r="M463" s="16"/>
      <c r="O463" s="25" t="s">
        <v>461</v>
      </c>
      <c r="T463" s="25" t="s">
        <v>462</v>
      </c>
      <c r="Z463" s="47"/>
      <c r="AA463" s="25"/>
      <c r="AB463" s="15"/>
      <c r="AC463" s="15"/>
      <c r="AD463" s="15"/>
      <c r="AE463" s="15"/>
      <c r="AF463" s="15"/>
    </row>
    <row r="464" spans="2:32" ht="14" customHeight="1" x14ac:dyDescent="0.25">
      <c r="B464" s="21" t="s">
        <v>334</v>
      </c>
      <c r="C464" s="21" t="s">
        <v>335</v>
      </c>
      <c r="D464" s="9" t="s">
        <v>436</v>
      </c>
      <c r="E464" s="21" t="s">
        <v>337</v>
      </c>
      <c r="F464" s="21" t="s">
        <v>423</v>
      </c>
      <c r="G464" s="21" t="s">
        <v>424</v>
      </c>
      <c r="I464" s="21" t="s">
        <v>334</v>
      </c>
      <c r="J464" s="21" t="s">
        <v>335</v>
      </c>
      <c r="K464" s="9" t="s">
        <v>437</v>
      </c>
      <c r="L464" s="21" t="s">
        <v>337</v>
      </c>
      <c r="M464" s="21" t="s">
        <v>423</v>
      </c>
      <c r="N464" s="21"/>
      <c r="O464" s="21" t="s">
        <v>334</v>
      </c>
      <c r="P464" s="21" t="s">
        <v>335</v>
      </c>
      <c r="Q464" s="50" t="s">
        <v>438</v>
      </c>
      <c r="R464" s="56" t="s">
        <v>384</v>
      </c>
      <c r="S464" s="21"/>
      <c r="T464" s="21" t="s">
        <v>334</v>
      </c>
      <c r="U464" s="56" t="s">
        <v>381</v>
      </c>
      <c r="V464" s="21" t="s">
        <v>438</v>
      </c>
      <c r="W464" s="57" t="s">
        <v>337</v>
      </c>
      <c r="X464" s="21"/>
      <c r="Z464" s="47"/>
      <c r="AA464" s="21"/>
      <c r="AB464" s="21"/>
      <c r="AC464" s="9"/>
      <c r="AD464" s="21"/>
      <c r="AE464" s="21"/>
      <c r="AF464" s="21"/>
    </row>
    <row r="465" spans="2:32" ht="14" customHeight="1" x14ac:dyDescent="0.25">
      <c r="B465" s="21">
        <v>1</v>
      </c>
      <c r="C465" s="21" t="s">
        <v>68</v>
      </c>
      <c r="D465" s="50">
        <v>19.420000000000002</v>
      </c>
      <c r="E465" s="16">
        <v>0.47299999999999998</v>
      </c>
      <c r="F465" s="55">
        <f>D465/D715-1</f>
        <v>0.44172234595397186</v>
      </c>
      <c r="G465" s="55">
        <f>D465/D485-1</f>
        <v>1.9422572178477759E-2</v>
      </c>
      <c r="I465" s="15">
        <v>1</v>
      </c>
      <c r="J465" s="21" t="s">
        <v>68</v>
      </c>
      <c r="K465" s="57">
        <v>112.73</v>
      </c>
      <c r="L465" s="56">
        <f t="shared" ref="L465:L481" si="23">K465/$K$481</f>
        <v>0.46031033074724376</v>
      </c>
      <c r="M465" s="16">
        <f>K465/K715-1</f>
        <v>0.41798742138364786</v>
      </c>
      <c r="N465" s="21"/>
      <c r="O465" s="21">
        <v>1</v>
      </c>
      <c r="P465" s="57" t="s">
        <v>68</v>
      </c>
      <c r="Q465" s="58">
        <v>11.74</v>
      </c>
      <c r="R465" s="53">
        <f t="shared" ref="R465:R481" si="24">Q465/$Q$481</f>
        <v>0.39003322259136214</v>
      </c>
      <c r="T465" s="21">
        <v>1</v>
      </c>
      <c r="U465" s="56" t="s">
        <v>98</v>
      </c>
      <c r="V465" s="21">
        <v>7.68</v>
      </c>
      <c r="W465" s="54">
        <f t="shared" ref="W465:W481" si="25">V465/$V$481</f>
        <v>0.67368421052631577</v>
      </c>
      <c r="Z465" s="47"/>
      <c r="AA465" s="21"/>
      <c r="AB465" s="21"/>
      <c r="AC465" s="50"/>
      <c r="AD465" s="16"/>
      <c r="AE465" s="55"/>
      <c r="AF465" s="55"/>
    </row>
    <row r="466" spans="2:32" ht="14" customHeight="1" x14ac:dyDescent="0.25">
      <c r="B466" s="21">
        <v>2</v>
      </c>
      <c r="C466" s="21" t="s">
        <v>69</v>
      </c>
      <c r="D466" s="50">
        <v>9.3699999999999992</v>
      </c>
      <c r="E466" s="16">
        <v>0.2283</v>
      </c>
      <c r="F466" s="55">
        <f>D466/D716-1</f>
        <v>2.1390374331551332E-3</v>
      </c>
      <c r="G466" s="55">
        <f>D466/D486-1</f>
        <v>-0.12429906542056079</v>
      </c>
      <c r="I466" s="15">
        <v>2</v>
      </c>
      <c r="J466" s="21" t="s">
        <v>69</v>
      </c>
      <c r="K466" s="57">
        <v>59.88</v>
      </c>
      <c r="L466" s="56">
        <f t="shared" si="23"/>
        <v>0.24450796243364639</v>
      </c>
      <c r="M466" s="16">
        <f>K466/K716-1</f>
        <v>9.3498904309715192E-2</v>
      </c>
      <c r="N466" s="21"/>
      <c r="O466" s="21">
        <v>2</v>
      </c>
      <c r="P466" s="57" t="s">
        <v>69</v>
      </c>
      <c r="Q466" s="59">
        <v>9.33</v>
      </c>
      <c r="R466" s="53">
        <f t="shared" si="24"/>
        <v>0.30996677740863787</v>
      </c>
      <c r="T466" s="21">
        <v>2</v>
      </c>
      <c r="U466" s="56" t="s">
        <v>100</v>
      </c>
      <c r="V466" s="21">
        <v>0.71</v>
      </c>
      <c r="W466" s="54">
        <f t="shared" si="25"/>
        <v>6.2280701754385957E-2</v>
      </c>
      <c r="Z466" s="47"/>
      <c r="AA466" s="21"/>
      <c r="AB466" s="21"/>
      <c r="AC466" s="50"/>
      <c r="AD466" s="16"/>
      <c r="AE466" s="55"/>
      <c r="AF466" s="55"/>
    </row>
    <row r="467" spans="2:32" ht="14" customHeight="1" x14ac:dyDescent="0.25">
      <c r="B467" s="21">
        <v>3</v>
      </c>
      <c r="C467" s="21" t="s">
        <v>71</v>
      </c>
      <c r="D467" s="50">
        <v>2.94</v>
      </c>
      <c r="E467" s="16">
        <v>7.1599999999999997E-2</v>
      </c>
      <c r="F467" s="55">
        <f>D467/D717-1</f>
        <v>-8.1250000000000044E-2</v>
      </c>
      <c r="G467" s="55">
        <f>D467/D487-1</f>
        <v>-5.1612903225806472E-2</v>
      </c>
      <c r="H467" s="50"/>
      <c r="I467" s="15">
        <v>3</v>
      </c>
      <c r="J467" s="21" t="s">
        <v>71</v>
      </c>
      <c r="K467" s="57">
        <v>16.77</v>
      </c>
      <c r="L467" s="56">
        <f t="shared" si="23"/>
        <v>6.8476929358922009E-2</v>
      </c>
      <c r="M467" s="16">
        <f t="shared" ref="M467:M474" si="26">K467/(INDEX($K$715:$K$729,MATCH(J467,$J$715:$J$729,0)))-1</f>
        <v>6.3411540900443875E-2</v>
      </c>
      <c r="N467" s="21"/>
      <c r="O467" s="21">
        <v>3</v>
      </c>
      <c r="P467" s="57" t="s">
        <v>71</v>
      </c>
      <c r="Q467" s="58">
        <v>2.23</v>
      </c>
      <c r="R467" s="53">
        <f t="shared" si="24"/>
        <v>7.4086378737541522E-2</v>
      </c>
      <c r="T467" s="21">
        <v>3</v>
      </c>
      <c r="U467" s="56" t="s">
        <v>172</v>
      </c>
      <c r="V467" s="21">
        <v>0.56000000000000005</v>
      </c>
      <c r="W467" s="54">
        <f t="shared" si="25"/>
        <v>4.912280701754386E-2</v>
      </c>
      <c r="Z467" s="47"/>
      <c r="AA467" s="21"/>
      <c r="AB467" s="21"/>
      <c r="AC467" s="50"/>
      <c r="AD467" s="16"/>
      <c r="AE467" s="55"/>
      <c r="AF467" s="55"/>
    </row>
    <row r="468" spans="2:32" ht="14" customHeight="1" x14ac:dyDescent="0.25">
      <c r="B468" s="21">
        <v>4</v>
      </c>
      <c r="C468" s="21" t="s">
        <v>70</v>
      </c>
      <c r="D468" s="50">
        <v>1.73</v>
      </c>
      <c r="E468" s="16">
        <v>4.2099999999999999E-2</v>
      </c>
      <c r="F468" s="55">
        <f>D468/D719-1</f>
        <v>0.3839999999999999</v>
      </c>
      <c r="G468" s="55">
        <f>D468/D489-1</f>
        <v>0.18493150684931514</v>
      </c>
      <c r="H468" s="50"/>
      <c r="I468" s="15">
        <v>4</v>
      </c>
      <c r="J468" s="21" t="s">
        <v>73</v>
      </c>
      <c r="K468" s="57">
        <v>10</v>
      </c>
      <c r="L468" s="56">
        <f t="shared" si="23"/>
        <v>4.0832993058391179E-2</v>
      </c>
      <c r="M468" s="16">
        <f t="shared" si="26"/>
        <v>0.26103404791929385</v>
      </c>
      <c r="O468" s="21">
        <v>4</v>
      </c>
      <c r="P468" s="57" t="s">
        <v>70</v>
      </c>
      <c r="Q468" s="59">
        <v>1.46</v>
      </c>
      <c r="R468" s="53">
        <f t="shared" si="24"/>
        <v>4.8504983388704313E-2</v>
      </c>
      <c r="T468" s="21">
        <v>4</v>
      </c>
      <c r="U468" s="21" t="s">
        <v>74</v>
      </c>
      <c r="V468" s="21">
        <v>0.54</v>
      </c>
      <c r="W468" s="54">
        <f t="shared" si="25"/>
        <v>4.736842105263158E-2</v>
      </c>
      <c r="Z468" s="47"/>
      <c r="AA468" s="21"/>
      <c r="AB468" s="21"/>
      <c r="AC468" s="50"/>
      <c r="AD468" s="16"/>
      <c r="AE468" s="55"/>
      <c r="AF468" s="55"/>
    </row>
    <row r="469" spans="2:32" ht="14" customHeight="1" x14ac:dyDescent="0.25">
      <c r="B469" s="21">
        <v>5</v>
      </c>
      <c r="C469" s="21" t="s">
        <v>73</v>
      </c>
      <c r="D469" s="50">
        <v>1.53</v>
      </c>
      <c r="E469" s="16">
        <v>3.73E-2</v>
      </c>
      <c r="F469" s="55">
        <f>D469/D718-1</f>
        <v>0.15909090909090895</v>
      </c>
      <c r="G469" s="55">
        <f>D469/D488-1</f>
        <v>-9.467455621301768E-2</v>
      </c>
      <c r="H469" s="50"/>
      <c r="I469" s="15">
        <v>5</v>
      </c>
      <c r="J469" s="21" t="s">
        <v>70</v>
      </c>
      <c r="K469" s="57">
        <v>8.9</v>
      </c>
      <c r="L469" s="56">
        <f t="shared" si="23"/>
        <v>3.6341363821968148E-2</v>
      </c>
      <c r="M469" s="16">
        <f t="shared" si="26"/>
        <v>0.21751025991792083</v>
      </c>
      <c r="N469" s="21"/>
      <c r="O469" s="21">
        <v>5</v>
      </c>
      <c r="P469" s="57" t="s">
        <v>73</v>
      </c>
      <c r="Q469" s="59">
        <f>1.2</f>
        <v>1.2</v>
      </c>
      <c r="R469" s="53">
        <f t="shared" si="24"/>
        <v>3.9867109634551492E-2</v>
      </c>
      <c r="T469" s="21">
        <v>5</v>
      </c>
      <c r="U469" s="56" t="s">
        <v>181</v>
      </c>
      <c r="V469" s="21">
        <v>0.34</v>
      </c>
      <c r="W469" s="54">
        <f t="shared" si="25"/>
        <v>2.9824561403508774E-2</v>
      </c>
      <c r="Z469" s="47"/>
      <c r="AA469" s="21"/>
      <c r="AB469" s="21"/>
      <c r="AC469" s="50"/>
      <c r="AD469" s="16"/>
      <c r="AE469" s="55"/>
      <c r="AF469" s="55"/>
    </row>
    <row r="470" spans="2:32" ht="14" customHeight="1" x14ac:dyDescent="0.25">
      <c r="B470" s="21">
        <v>6</v>
      </c>
      <c r="C470" s="21" t="s">
        <v>129</v>
      </c>
      <c r="D470" s="50">
        <v>1.35</v>
      </c>
      <c r="E470" s="16">
        <v>3.2899999999999999E-2</v>
      </c>
      <c r="F470" s="55">
        <f>D470/D720-1</f>
        <v>1.2881355932203391</v>
      </c>
      <c r="G470" s="55">
        <f>D470/D490-1</f>
        <v>3.8461538461538547E-2</v>
      </c>
      <c r="H470" s="50"/>
      <c r="I470" s="15">
        <v>6</v>
      </c>
      <c r="J470" s="21" t="s">
        <v>74</v>
      </c>
      <c r="K470" s="57">
        <v>7.43</v>
      </c>
      <c r="L470" s="56">
        <f t="shared" si="23"/>
        <v>3.0338913842384643E-2</v>
      </c>
      <c r="M470" s="16">
        <f t="shared" si="26"/>
        <v>1.8250950570342206</v>
      </c>
      <c r="N470" s="21"/>
      <c r="O470" s="21">
        <v>6</v>
      </c>
      <c r="P470" s="57" t="s">
        <v>129</v>
      </c>
      <c r="Q470" s="59">
        <v>1.01</v>
      </c>
      <c r="R470" s="53">
        <f t="shared" si="24"/>
        <v>3.3554817275747509E-2</v>
      </c>
      <c r="T470" s="21">
        <v>6</v>
      </c>
      <c r="U470" s="56" t="s">
        <v>103</v>
      </c>
      <c r="V470" s="21">
        <v>0.34</v>
      </c>
      <c r="W470" s="54">
        <f t="shared" si="25"/>
        <v>2.9824561403508774E-2</v>
      </c>
      <c r="Z470" s="47"/>
      <c r="AA470" s="21"/>
      <c r="AB470" s="21"/>
      <c r="AC470" s="50"/>
      <c r="AD470" s="16"/>
      <c r="AE470" s="52"/>
      <c r="AF470" s="55"/>
    </row>
    <row r="471" spans="2:32" ht="14" customHeight="1" x14ac:dyDescent="0.25">
      <c r="B471" s="21">
        <v>7</v>
      </c>
      <c r="C471" s="21" t="s">
        <v>74</v>
      </c>
      <c r="D471" s="50">
        <v>1.28</v>
      </c>
      <c r="E471" s="16">
        <v>3.1300000000000001E-2</v>
      </c>
      <c r="F471" s="55">
        <f>D471/D722-1</f>
        <v>1.2857142857142856</v>
      </c>
      <c r="G471" s="55">
        <f>D471/D491-1</f>
        <v>9.4017094017094127E-2</v>
      </c>
      <c r="H471" s="50"/>
      <c r="I471" s="15">
        <v>7</v>
      </c>
      <c r="J471" s="21" t="s">
        <v>129</v>
      </c>
      <c r="K471" s="57">
        <v>7.3</v>
      </c>
      <c r="L471" s="56">
        <f t="shared" si="23"/>
        <v>2.9808084932625559E-2</v>
      </c>
      <c r="M471" s="16">
        <f t="shared" si="26"/>
        <v>0.69373549883990737</v>
      </c>
      <c r="N471" s="21"/>
      <c r="O471" s="21">
        <v>7</v>
      </c>
      <c r="P471" s="57" t="s">
        <v>322</v>
      </c>
      <c r="Q471" s="58">
        <f>0.76</f>
        <v>0.76</v>
      </c>
      <c r="R471" s="53">
        <f t="shared" si="24"/>
        <v>2.5249169435215945E-2</v>
      </c>
      <c r="T471" s="21">
        <v>7</v>
      </c>
      <c r="U471" s="56" t="s">
        <v>101</v>
      </c>
      <c r="V471" s="49">
        <v>0.27</v>
      </c>
      <c r="W471" s="54">
        <f t="shared" si="25"/>
        <v>2.368421052631579E-2</v>
      </c>
      <c r="Z471" s="47"/>
      <c r="AA471" s="21"/>
      <c r="AB471" s="21"/>
      <c r="AC471" s="50"/>
      <c r="AD471" s="16"/>
      <c r="AE471" s="52"/>
      <c r="AF471" s="55"/>
    </row>
    <row r="472" spans="2:32" ht="14" customHeight="1" x14ac:dyDescent="0.25">
      <c r="B472" s="21">
        <v>8</v>
      </c>
      <c r="C472" s="21" t="s">
        <v>323</v>
      </c>
      <c r="D472" s="50">
        <v>0.79</v>
      </c>
      <c r="E472" s="16">
        <v>1.9099999999999999E-2</v>
      </c>
      <c r="F472" s="55">
        <f>D472/D721-1</f>
        <v>0.38596491228070184</v>
      </c>
      <c r="G472" s="55">
        <f>D472/D493-1</f>
        <v>-0.13186813186813184</v>
      </c>
      <c r="H472" s="50"/>
      <c r="I472" s="15">
        <v>8</v>
      </c>
      <c r="J472" s="21" t="s">
        <v>322</v>
      </c>
      <c r="K472" s="57">
        <v>4.49</v>
      </c>
      <c r="L472" s="56">
        <f t="shared" si="23"/>
        <v>1.8334013883217641E-2</v>
      </c>
      <c r="M472" s="16">
        <f t="shared" si="26"/>
        <v>1.7888198757763973</v>
      </c>
      <c r="O472" s="21">
        <v>8</v>
      </c>
      <c r="P472" s="57" t="s">
        <v>74</v>
      </c>
      <c r="Q472" s="58">
        <v>0.75</v>
      </c>
      <c r="R472" s="53">
        <f t="shared" si="24"/>
        <v>2.4916943521594685E-2</v>
      </c>
      <c r="T472" s="21">
        <v>8</v>
      </c>
      <c r="U472" s="56" t="s">
        <v>185</v>
      </c>
      <c r="V472" s="21">
        <v>0.22</v>
      </c>
      <c r="W472" s="54">
        <f t="shared" si="25"/>
        <v>1.9298245614035089E-2</v>
      </c>
      <c r="Z472" s="47"/>
      <c r="AD472" s="227"/>
      <c r="AF472" s="47"/>
    </row>
    <row r="473" spans="2:32" ht="14" customHeight="1" x14ac:dyDescent="0.25">
      <c r="B473" s="21">
        <v>9</v>
      </c>
      <c r="C473" s="21" t="s">
        <v>322</v>
      </c>
      <c r="D473" s="50">
        <v>0.76</v>
      </c>
      <c r="E473" s="16">
        <v>1.8499999999999999E-2</v>
      </c>
      <c r="F473" s="55">
        <f>D473/D725-1</f>
        <v>0.76744186046511631</v>
      </c>
      <c r="G473" s="55">
        <f>D473/D492-1</f>
        <v>-0.32142857142857151</v>
      </c>
      <c r="H473" s="50"/>
      <c r="I473" s="15">
        <v>9</v>
      </c>
      <c r="J473" s="15" t="s">
        <v>370</v>
      </c>
      <c r="K473" s="57">
        <v>4.03</v>
      </c>
      <c r="L473" s="56">
        <f t="shared" si="23"/>
        <v>1.6455696202531647E-2</v>
      </c>
      <c r="M473" s="16">
        <f t="shared" si="26"/>
        <v>1.2265193370165748</v>
      </c>
      <c r="O473" s="21">
        <v>9</v>
      </c>
      <c r="P473" s="57" t="s">
        <v>323</v>
      </c>
      <c r="Q473" s="58">
        <v>0.69</v>
      </c>
      <c r="R473" s="53">
        <f t="shared" si="24"/>
        <v>2.2923588039867108E-2</v>
      </c>
      <c r="T473" s="21">
        <v>9</v>
      </c>
      <c r="U473" s="56" t="s">
        <v>370</v>
      </c>
      <c r="V473" s="21">
        <v>0.1</v>
      </c>
      <c r="W473" s="54">
        <f t="shared" si="25"/>
        <v>8.771929824561403E-3</v>
      </c>
      <c r="Z473" s="47"/>
      <c r="AD473" s="227"/>
      <c r="AF473" s="47"/>
    </row>
    <row r="474" spans="2:32" ht="14" customHeight="1" x14ac:dyDescent="0.25">
      <c r="B474" s="21">
        <v>10</v>
      </c>
      <c r="C474" s="15" t="s">
        <v>172</v>
      </c>
      <c r="D474" s="50">
        <v>0.56000000000000005</v>
      </c>
      <c r="E474" s="16">
        <v>1.3599999999999999E-2</v>
      </c>
      <c r="F474" s="55">
        <f>D474/D723-1</f>
        <v>9.8039215686274606E-2</v>
      </c>
      <c r="G474" s="55">
        <f>D474/D494-1</f>
        <v>-1.754385964912264E-2</v>
      </c>
      <c r="H474" s="50"/>
      <c r="I474" s="15">
        <v>10</v>
      </c>
      <c r="J474" s="21" t="s">
        <v>127</v>
      </c>
      <c r="K474" s="57">
        <v>3.52</v>
      </c>
      <c r="L474" s="56">
        <f t="shared" si="23"/>
        <v>1.4373213556553695E-2</v>
      </c>
      <c r="M474" s="16">
        <f t="shared" si="26"/>
        <v>5.7057057057056992E-2</v>
      </c>
      <c r="N474" s="21"/>
      <c r="O474" s="21">
        <v>10</v>
      </c>
      <c r="P474" s="57" t="s">
        <v>397</v>
      </c>
      <c r="Q474" s="58">
        <v>0.31</v>
      </c>
      <c r="R474" s="53">
        <f t="shared" si="24"/>
        <v>1.0299003322259135E-2</v>
      </c>
      <c r="T474" s="21">
        <v>10</v>
      </c>
      <c r="U474" s="56" t="s">
        <v>99</v>
      </c>
      <c r="V474" s="49">
        <v>0.04</v>
      </c>
      <c r="W474" s="54">
        <f t="shared" si="25"/>
        <v>3.5087719298245615E-3</v>
      </c>
      <c r="Z474" s="47"/>
      <c r="AD474" s="227"/>
      <c r="AF474" s="47"/>
    </row>
    <row r="475" spans="2:32" ht="14" customHeight="1" x14ac:dyDescent="0.25">
      <c r="B475" s="21">
        <v>11</v>
      </c>
      <c r="C475" s="21" t="s">
        <v>397</v>
      </c>
      <c r="D475" s="50">
        <v>0.31</v>
      </c>
      <c r="E475" s="16">
        <v>7.6E-3</v>
      </c>
      <c r="F475" s="55"/>
      <c r="G475" s="55">
        <f>D475/D495-1</f>
        <v>0</v>
      </c>
      <c r="H475" s="50"/>
      <c r="I475" s="15">
        <v>11</v>
      </c>
      <c r="J475" s="21" t="s">
        <v>397</v>
      </c>
      <c r="K475" s="57">
        <v>2.25</v>
      </c>
      <c r="L475" s="56">
        <f t="shared" si="23"/>
        <v>9.1874234381380156E-3</v>
      </c>
      <c r="M475" s="16"/>
      <c r="O475" s="21">
        <v>11</v>
      </c>
      <c r="P475" s="57" t="s">
        <v>418</v>
      </c>
      <c r="Q475" s="59">
        <v>0.21</v>
      </c>
      <c r="R475" s="53">
        <f t="shared" si="24"/>
        <v>6.9767441860465107E-3</v>
      </c>
      <c r="T475" s="21">
        <v>11</v>
      </c>
      <c r="U475" s="56" t="s">
        <v>458</v>
      </c>
      <c r="V475" s="49">
        <v>0.03</v>
      </c>
      <c r="W475" s="54">
        <f t="shared" si="25"/>
        <v>2.631578947368421E-3</v>
      </c>
      <c r="Z475" s="47"/>
      <c r="AD475" s="227"/>
      <c r="AF475" s="47"/>
    </row>
    <row r="476" spans="2:32" ht="14" customHeight="1" x14ac:dyDescent="0.25">
      <c r="B476" s="21">
        <v>12</v>
      </c>
      <c r="C476" s="21" t="s">
        <v>357</v>
      </c>
      <c r="D476" s="50">
        <v>0.23</v>
      </c>
      <c r="E476" s="16">
        <v>5.7000000000000002E-3</v>
      </c>
      <c r="F476" s="55">
        <f>D476/D724-1</f>
        <v>-0.54</v>
      </c>
      <c r="G476" s="55">
        <f>D476/D496-1</f>
        <v>-7.999999999999996E-2</v>
      </c>
      <c r="H476" s="50"/>
      <c r="I476" s="15">
        <v>12</v>
      </c>
      <c r="J476" s="21" t="s">
        <v>357</v>
      </c>
      <c r="K476" s="57">
        <v>1.98</v>
      </c>
      <c r="L476" s="56">
        <f t="shared" si="23"/>
        <v>8.0849326255614529E-3</v>
      </c>
      <c r="M476" s="16">
        <f>K476/(INDEX($K$715:$K$729,MATCH(J476,$J$715:$J$729,0)))-1</f>
        <v>-0.1428571428571429</v>
      </c>
      <c r="O476" s="21">
        <v>12</v>
      </c>
      <c r="P476" s="57" t="s">
        <v>326</v>
      </c>
      <c r="Q476" s="58">
        <v>0.17</v>
      </c>
      <c r="R476" s="53">
        <f t="shared" si="24"/>
        <v>5.6478405315614618E-3</v>
      </c>
      <c r="T476" s="21">
        <v>12</v>
      </c>
      <c r="U476" s="56" t="s">
        <v>355</v>
      </c>
      <c r="V476" s="49">
        <v>0.01</v>
      </c>
      <c r="W476" s="54">
        <f t="shared" si="25"/>
        <v>8.7719298245614037E-4</v>
      </c>
      <c r="Z476" s="47"/>
      <c r="AD476" s="227"/>
      <c r="AF476" s="47"/>
    </row>
    <row r="477" spans="2:32" ht="14" customHeight="1" x14ac:dyDescent="0.25">
      <c r="B477" s="21">
        <v>13</v>
      </c>
      <c r="C477" s="21" t="s">
        <v>418</v>
      </c>
      <c r="D477" s="50">
        <v>0.21</v>
      </c>
      <c r="E477" s="16">
        <v>5.1000000000000004E-3</v>
      </c>
      <c r="F477" s="55"/>
      <c r="G477" s="55">
        <f>D477/D499-1</f>
        <v>1.625</v>
      </c>
      <c r="H477" s="50"/>
      <c r="I477" s="15">
        <v>13</v>
      </c>
      <c r="J477" s="21" t="s">
        <v>326</v>
      </c>
      <c r="K477" s="57">
        <v>1.02</v>
      </c>
      <c r="L477" s="56">
        <f t="shared" si="23"/>
        <v>4.1649652919559001E-3</v>
      </c>
      <c r="M477" s="16">
        <f>K477/(INDEX($K$715:$K$729,MATCH(J477,$J$715:$J$729,0)))-1</f>
        <v>0.47826086956521752</v>
      </c>
      <c r="N477" s="21"/>
      <c r="O477" s="21">
        <v>13</v>
      </c>
      <c r="P477" s="57" t="s">
        <v>325</v>
      </c>
      <c r="Q477" s="59">
        <v>0.09</v>
      </c>
      <c r="R477" s="53">
        <f t="shared" si="24"/>
        <v>2.990033222591362E-3</v>
      </c>
      <c r="T477" s="21">
        <v>13</v>
      </c>
      <c r="U477" s="56" t="s">
        <v>329</v>
      </c>
      <c r="V477" s="49">
        <v>0.01</v>
      </c>
      <c r="W477" s="54">
        <f t="shared" si="25"/>
        <v>8.7719298245614037E-4</v>
      </c>
      <c r="Z477" s="47"/>
      <c r="AD477" s="227"/>
      <c r="AF477" s="47"/>
    </row>
    <row r="478" spans="2:32" ht="14" customHeight="1" x14ac:dyDescent="0.25">
      <c r="B478" s="21">
        <v>14</v>
      </c>
      <c r="C478" s="21" t="s">
        <v>326</v>
      </c>
      <c r="D478" s="50">
        <v>0.17</v>
      </c>
      <c r="E478" s="16">
        <v>4.1999999999999997E-3</v>
      </c>
      <c r="F478" s="55">
        <f>D478/D727-1</f>
        <v>2.4</v>
      </c>
      <c r="G478" s="55">
        <f>D478/D497-1</f>
        <v>-0.19047619047619035</v>
      </c>
      <c r="H478" s="50"/>
      <c r="I478" s="15">
        <v>14</v>
      </c>
      <c r="J478" s="21" t="s">
        <v>325</v>
      </c>
      <c r="K478" s="57">
        <v>0.36</v>
      </c>
      <c r="L478" s="56">
        <f t="shared" si="23"/>
        <v>1.4699877501020823E-3</v>
      </c>
      <c r="M478" s="16"/>
      <c r="N478" s="21"/>
      <c r="O478" s="21">
        <v>14</v>
      </c>
      <c r="P478" s="57" t="s">
        <v>408</v>
      </c>
      <c r="Q478" s="59">
        <v>0.06</v>
      </c>
      <c r="R478" s="53">
        <f t="shared" si="24"/>
        <v>1.9933554817275745E-3</v>
      </c>
      <c r="T478" s="21">
        <v>14</v>
      </c>
      <c r="U478" s="56" t="s">
        <v>392</v>
      </c>
      <c r="V478" s="49">
        <v>0</v>
      </c>
      <c r="W478" s="54">
        <f t="shared" si="25"/>
        <v>0</v>
      </c>
      <c r="Z478" s="47"/>
      <c r="AD478" s="227"/>
      <c r="AF478" s="47"/>
    </row>
    <row r="479" spans="2:32" ht="14" customHeight="1" x14ac:dyDescent="0.25">
      <c r="B479" s="21">
        <v>15</v>
      </c>
      <c r="C479" s="21" t="s">
        <v>342</v>
      </c>
      <c r="D479" s="50">
        <v>0.1</v>
      </c>
      <c r="E479" s="16">
        <v>2.3999999999999998E-3</v>
      </c>
      <c r="F479" s="55">
        <f>D479/D729-1</f>
        <v>1.5</v>
      </c>
      <c r="G479" s="55"/>
      <c r="H479" s="50"/>
      <c r="I479" s="15">
        <v>15</v>
      </c>
      <c r="J479" s="21" t="s">
        <v>408</v>
      </c>
      <c r="K479" s="57">
        <v>0.32</v>
      </c>
      <c r="L479" s="56">
        <f t="shared" si="23"/>
        <v>1.3066557778685177E-3</v>
      </c>
      <c r="M479" s="16">
        <f>K479/(INDEX($K$715:$K$729,MATCH(J479,$J$715:$J$729,0)))-1</f>
        <v>0.7777777777777779</v>
      </c>
      <c r="N479" s="21"/>
      <c r="O479" s="21">
        <v>15</v>
      </c>
      <c r="P479" s="57" t="s">
        <v>426</v>
      </c>
      <c r="Q479" s="58">
        <v>0.03</v>
      </c>
      <c r="R479" s="53">
        <f t="shared" si="24"/>
        <v>9.9667774086378727E-4</v>
      </c>
      <c r="T479" s="21">
        <v>15</v>
      </c>
      <c r="U479" s="56" t="s">
        <v>58</v>
      </c>
      <c r="V479" s="49">
        <v>0</v>
      </c>
      <c r="W479" s="54">
        <f t="shared" si="25"/>
        <v>0</v>
      </c>
      <c r="Z479" s="47"/>
      <c r="AD479" s="227"/>
      <c r="AF479" s="47"/>
    </row>
    <row r="480" spans="2:32" ht="14" customHeight="1" x14ac:dyDescent="0.25">
      <c r="B480" s="21"/>
      <c r="C480" s="21" t="s">
        <v>77</v>
      </c>
      <c r="D480" s="50">
        <f>D481-SUM(D465:D479)</f>
        <v>0.84999999999999432</v>
      </c>
      <c r="E480" s="16">
        <f>D480/$D$481</f>
        <v>2.0432692307692169E-2</v>
      </c>
      <c r="F480" s="52"/>
      <c r="G480" s="55"/>
      <c r="H480" s="50"/>
      <c r="I480" s="21"/>
      <c r="J480" s="21" t="s">
        <v>77</v>
      </c>
      <c r="K480" s="57">
        <f>K481-SUM(K465:K479)</f>
        <v>3.9199999999999307</v>
      </c>
      <c r="L480" s="56">
        <f t="shared" si="23"/>
        <v>1.6006533278889058E-2</v>
      </c>
      <c r="M480" s="16"/>
      <c r="N480" s="21"/>
      <c r="P480" s="21" t="s">
        <v>77</v>
      </c>
      <c r="Q480" s="50">
        <f>Q481-SUM(Q465:Q479)</f>
        <v>5.9999999999995168E-2</v>
      </c>
      <c r="R480" s="53">
        <f t="shared" si="24"/>
        <v>1.9933554817274141E-3</v>
      </c>
      <c r="T480" s="56"/>
      <c r="U480" s="21" t="s">
        <v>77</v>
      </c>
      <c r="V480" s="50">
        <f>V481-SUM(V465:V479)</f>
        <v>0.55000000000000071</v>
      </c>
      <c r="W480" s="54">
        <f t="shared" si="25"/>
        <v>4.8245614035087779E-2</v>
      </c>
      <c r="Z480" s="47"/>
      <c r="AD480" s="227"/>
      <c r="AF480" s="47"/>
    </row>
    <row r="481" spans="2:32" ht="14" customHeight="1" x14ac:dyDescent="0.25">
      <c r="B481" s="21"/>
      <c r="C481" s="21" t="s">
        <v>78</v>
      </c>
      <c r="D481" s="50">
        <v>41.6</v>
      </c>
      <c r="E481" s="16">
        <f>D481/$D$481</f>
        <v>1</v>
      </c>
      <c r="F481" s="52">
        <v>0.28999999999999998</v>
      </c>
      <c r="G481" s="55">
        <v>-2.9000000000000001E-2</v>
      </c>
      <c r="H481" s="50"/>
      <c r="I481" s="21"/>
      <c r="J481" s="21" t="s">
        <v>78</v>
      </c>
      <c r="K481" s="57">
        <v>244.9</v>
      </c>
      <c r="L481" s="56">
        <f t="shared" si="23"/>
        <v>1</v>
      </c>
      <c r="M481" s="16">
        <v>0.32800000000000001</v>
      </c>
      <c r="N481" s="21"/>
      <c r="P481" s="21" t="s">
        <v>78</v>
      </c>
      <c r="Q481" s="57">
        <v>30.1</v>
      </c>
      <c r="R481" s="53">
        <f t="shared" si="24"/>
        <v>1</v>
      </c>
      <c r="S481" s="228"/>
      <c r="U481" s="21" t="s">
        <v>78</v>
      </c>
      <c r="V481" s="57">
        <v>11.4</v>
      </c>
      <c r="W481" s="54">
        <f t="shared" si="25"/>
        <v>1</v>
      </c>
      <c r="X481" s="228"/>
      <c r="Z481" s="47"/>
      <c r="AD481" s="227"/>
      <c r="AF481" s="47"/>
    </row>
    <row r="482" spans="2:32" ht="14" customHeight="1" x14ac:dyDescent="0.25">
      <c r="D482" s="43"/>
      <c r="J482" s="43"/>
      <c r="O482" s="227"/>
      <c r="X482" s="227"/>
      <c r="Z482" s="47"/>
      <c r="AD482" s="227"/>
      <c r="AF482" s="47"/>
    </row>
    <row r="483" spans="2:32" ht="14" customHeight="1" x14ac:dyDescent="0.25">
      <c r="B483" s="15" t="s">
        <v>463</v>
      </c>
      <c r="C483" s="21"/>
      <c r="D483" s="50"/>
      <c r="E483" s="16"/>
      <c r="F483" s="52"/>
      <c r="G483" s="55"/>
      <c r="I483" s="15" t="s">
        <v>464</v>
      </c>
      <c r="O483" s="25" t="s">
        <v>465</v>
      </c>
      <c r="T483" s="25" t="s">
        <v>466</v>
      </c>
      <c r="Z483" s="47"/>
      <c r="AA483" s="25"/>
      <c r="AB483" s="15"/>
      <c r="AC483" s="15"/>
      <c r="AD483" s="15"/>
      <c r="AE483" s="15"/>
      <c r="AF483" s="15"/>
    </row>
    <row r="484" spans="2:32" ht="14" customHeight="1" x14ac:dyDescent="0.25">
      <c r="B484" s="21" t="s">
        <v>334</v>
      </c>
      <c r="C484" s="21" t="s">
        <v>335</v>
      </c>
      <c r="D484" s="9" t="s">
        <v>436</v>
      </c>
      <c r="E484" s="21" t="s">
        <v>337</v>
      </c>
      <c r="F484" s="21" t="s">
        <v>423</v>
      </c>
      <c r="G484" s="21" t="s">
        <v>424</v>
      </c>
      <c r="I484" s="21" t="s">
        <v>334</v>
      </c>
      <c r="J484" s="21" t="s">
        <v>335</v>
      </c>
      <c r="K484" s="9" t="s">
        <v>437</v>
      </c>
      <c r="L484" s="21" t="s">
        <v>337</v>
      </c>
      <c r="M484" s="21" t="s">
        <v>423</v>
      </c>
      <c r="N484" s="21"/>
      <c r="O484" s="21" t="s">
        <v>334</v>
      </c>
      <c r="P484" s="21" t="s">
        <v>335</v>
      </c>
      <c r="Q484" s="50" t="s">
        <v>438</v>
      </c>
      <c r="R484" s="56" t="s">
        <v>384</v>
      </c>
      <c r="S484" s="21"/>
      <c r="T484" s="21" t="s">
        <v>334</v>
      </c>
      <c r="U484" s="56" t="s">
        <v>381</v>
      </c>
      <c r="V484" s="21" t="s">
        <v>438</v>
      </c>
      <c r="W484" s="57" t="s">
        <v>337</v>
      </c>
      <c r="X484" s="21"/>
      <c r="Z484" s="47"/>
      <c r="AA484" s="21"/>
      <c r="AB484" s="21"/>
      <c r="AC484" s="9"/>
      <c r="AD484" s="21"/>
      <c r="AE484" s="21"/>
      <c r="AF484" s="21"/>
    </row>
    <row r="485" spans="2:32" ht="14" customHeight="1" x14ac:dyDescent="0.25">
      <c r="B485" s="21">
        <v>1</v>
      </c>
      <c r="C485" s="21" t="s">
        <v>68</v>
      </c>
      <c r="D485" s="50">
        <v>19.05</v>
      </c>
      <c r="E485" s="16">
        <f>D485/$D$501</f>
        <v>0.4450934579439253</v>
      </c>
      <c r="F485" s="55">
        <f t="shared" ref="F485:F490" si="27">D485/D737-1</f>
        <v>0.28282828282828287</v>
      </c>
      <c r="G485" s="55">
        <f t="shared" ref="G485:G490" si="28">D485/D505-1</f>
        <v>0.10179294389820726</v>
      </c>
      <c r="I485" s="15">
        <v>1</v>
      </c>
      <c r="J485" s="21" t="s">
        <v>68</v>
      </c>
      <c r="K485" s="57">
        <v>93.31</v>
      </c>
      <c r="L485" s="56">
        <f t="shared" ref="L485:L501" si="29">K485/$K$501</f>
        <v>0.45897688145597637</v>
      </c>
      <c r="M485" s="16">
        <f>K485/K737-1</f>
        <v>0.41314553990610325</v>
      </c>
      <c r="N485" s="21"/>
      <c r="O485" s="21">
        <v>1</v>
      </c>
      <c r="P485" s="57" t="s">
        <v>68</v>
      </c>
      <c r="Q485" s="58">
        <v>11.9</v>
      </c>
      <c r="R485" s="53">
        <f t="shared" ref="R485:R501" si="30">Q485/$Q$501</f>
        <v>0.37539432176656151</v>
      </c>
      <c r="T485" s="21">
        <v>1</v>
      </c>
      <c r="U485" s="56" t="s">
        <v>98</v>
      </c>
      <c r="V485" s="21">
        <v>7.16</v>
      </c>
      <c r="W485" s="54">
        <f t="shared" ref="W485:W501" si="31">V485/$V$501</f>
        <v>0.64504504504504512</v>
      </c>
      <c r="Z485" s="47"/>
      <c r="AA485" s="21"/>
      <c r="AB485" s="21"/>
      <c r="AC485" s="50"/>
      <c r="AD485" s="16"/>
      <c r="AE485" s="55"/>
      <c r="AF485" s="55"/>
    </row>
    <row r="486" spans="2:32" ht="14" customHeight="1" x14ac:dyDescent="0.25">
      <c r="B486" s="21">
        <v>2</v>
      </c>
      <c r="C486" s="21" t="s">
        <v>69</v>
      </c>
      <c r="D486" s="50">
        <v>10.7</v>
      </c>
      <c r="E486" s="16">
        <f t="shared" ref="E486:E501" si="32">D486/$D$501</f>
        <v>0.25</v>
      </c>
      <c r="F486" s="55">
        <f t="shared" si="27"/>
        <v>0.18756936736958929</v>
      </c>
      <c r="G486" s="55">
        <f t="shared" si="28"/>
        <v>-6.3047285464098102E-2</v>
      </c>
      <c r="I486" s="15">
        <v>2</v>
      </c>
      <c r="J486" s="21" t="s">
        <v>69</v>
      </c>
      <c r="K486" s="57">
        <v>50.51</v>
      </c>
      <c r="L486" s="56">
        <f t="shared" si="29"/>
        <v>0.24845056566650267</v>
      </c>
      <c r="M486" s="16">
        <f>K486/K738-1</f>
        <v>0.11231006386258535</v>
      </c>
      <c r="N486" s="21"/>
      <c r="O486" s="21">
        <v>2</v>
      </c>
      <c r="P486" s="57" t="s">
        <v>69</v>
      </c>
      <c r="Q486" s="59">
        <v>10.66</v>
      </c>
      <c r="R486" s="53">
        <f t="shared" si="30"/>
        <v>0.33627760252365929</v>
      </c>
      <c r="T486" s="21">
        <v>2</v>
      </c>
      <c r="U486" s="56" t="s">
        <v>100</v>
      </c>
      <c r="V486" s="21">
        <v>0.94</v>
      </c>
      <c r="W486" s="54">
        <f t="shared" si="31"/>
        <v>8.468468468468468E-2</v>
      </c>
      <c r="Z486" s="47"/>
      <c r="AA486" s="21"/>
      <c r="AB486" s="21"/>
      <c r="AC486" s="50"/>
      <c r="AD486" s="16"/>
      <c r="AE486" s="55"/>
      <c r="AF486" s="55"/>
    </row>
    <row r="487" spans="2:32" ht="14" customHeight="1" x14ac:dyDescent="0.25">
      <c r="B487" s="21">
        <v>3</v>
      </c>
      <c r="C487" s="21" t="s">
        <v>71</v>
      </c>
      <c r="D487" s="50">
        <v>3.1</v>
      </c>
      <c r="E487" s="16">
        <f t="shared" si="32"/>
        <v>7.2429906542056083E-2</v>
      </c>
      <c r="F487" s="55">
        <f t="shared" si="27"/>
        <v>6.8965517241379448E-2</v>
      </c>
      <c r="G487" s="55">
        <f t="shared" si="28"/>
        <v>3.3333333333333437E-2</v>
      </c>
      <c r="H487" s="50"/>
      <c r="I487" s="15">
        <v>3</v>
      </c>
      <c r="J487" s="21" t="s">
        <v>71</v>
      </c>
      <c r="K487" s="57">
        <v>13.83</v>
      </c>
      <c r="L487" s="56">
        <f t="shared" si="29"/>
        <v>6.8027545499262168E-2</v>
      </c>
      <c r="M487" s="16">
        <f>K487/K761-1</f>
        <v>0.43167701863354035</v>
      </c>
      <c r="N487" s="21"/>
      <c r="O487" s="21">
        <v>3</v>
      </c>
      <c r="P487" s="57" t="s">
        <v>71</v>
      </c>
      <c r="Q487" s="58">
        <v>2.16</v>
      </c>
      <c r="R487" s="53">
        <f t="shared" si="30"/>
        <v>6.8138801261829654E-2</v>
      </c>
      <c r="T487" s="21">
        <v>3</v>
      </c>
      <c r="U487" s="21" t="s">
        <v>74</v>
      </c>
      <c r="V487" s="21">
        <v>0.56999999999999995</v>
      </c>
      <c r="W487" s="54">
        <f t="shared" si="31"/>
        <v>5.1351351351351347E-2</v>
      </c>
      <c r="Z487" s="47"/>
      <c r="AA487" s="21"/>
      <c r="AB487" s="21"/>
      <c r="AC487" s="50"/>
      <c r="AD487" s="16"/>
      <c r="AE487" s="55"/>
      <c r="AF487" s="55"/>
    </row>
    <row r="488" spans="2:32" ht="14" customHeight="1" x14ac:dyDescent="0.25">
      <c r="B488" s="21">
        <v>4</v>
      </c>
      <c r="C488" s="21" t="s">
        <v>73</v>
      </c>
      <c r="D488" s="50">
        <v>1.69</v>
      </c>
      <c r="E488" s="16">
        <f t="shared" si="32"/>
        <v>3.9485981308411217E-2</v>
      </c>
      <c r="F488" s="55">
        <f t="shared" si="27"/>
        <v>0.14189189189189189</v>
      </c>
      <c r="G488" s="55">
        <f t="shared" si="28"/>
        <v>9.740259740259738E-2</v>
      </c>
      <c r="H488" s="50"/>
      <c r="I488" s="15">
        <v>4</v>
      </c>
      <c r="J488" s="21" t="s">
        <v>73</v>
      </c>
      <c r="K488" s="57">
        <v>8.4700000000000006</v>
      </c>
      <c r="L488" s="56">
        <f t="shared" si="29"/>
        <v>4.1662567634038368E-2</v>
      </c>
      <c r="M488" s="16">
        <f>K488/K740-1</f>
        <v>0.28139183055975803</v>
      </c>
      <c r="N488" s="21"/>
      <c r="O488" s="21">
        <v>4</v>
      </c>
      <c r="P488" s="57" t="s">
        <v>73</v>
      </c>
      <c r="Q488" s="59">
        <v>1.42</v>
      </c>
      <c r="R488" s="53">
        <f t="shared" si="30"/>
        <v>4.4794952681388014E-2</v>
      </c>
      <c r="T488" s="21">
        <v>4</v>
      </c>
      <c r="U488" s="56" t="s">
        <v>172</v>
      </c>
      <c r="V488" s="21">
        <v>0.56999999999999995</v>
      </c>
      <c r="W488" s="54">
        <f t="shared" si="31"/>
        <v>5.1351351351351347E-2</v>
      </c>
      <c r="Z488" s="47"/>
      <c r="AA488" s="21"/>
      <c r="AB488" s="21"/>
      <c r="AC488" s="50"/>
      <c r="AD488" s="16"/>
      <c r="AE488" s="55"/>
      <c r="AF488" s="55"/>
    </row>
    <row r="489" spans="2:32" ht="14" customHeight="1" x14ac:dyDescent="0.25">
      <c r="B489" s="21">
        <v>5</v>
      </c>
      <c r="C489" s="21" t="s">
        <v>70</v>
      </c>
      <c r="D489" s="50">
        <v>1.46</v>
      </c>
      <c r="E489" s="16">
        <f t="shared" si="32"/>
        <v>3.411214953271028E-2</v>
      </c>
      <c r="F489" s="55">
        <f t="shared" si="27"/>
        <v>0.19672131147540983</v>
      </c>
      <c r="G489" s="55">
        <f t="shared" si="28"/>
        <v>0.140625</v>
      </c>
      <c r="H489" s="50"/>
      <c r="I489" s="15">
        <v>5</v>
      </c>
      <c r="J489" s="21" t="s">
        <v>70</v>
      </c>
      <c r="K489" s="57">
        <v>7.17</v>
      </c>
      <c r="L489" s="56">
        <f t="shared" si="29"/>
        <v>3.5268076733890798E-2</v>
      </c>
      <c r="M489" s="16">
        <f>K489/K763-1</f>
        <v>0.48140495867768607</v>
      </c>
      <c r="N489" s="21"/>
      <c r="O489" s="21">
        <v>5</v>
      </c>
      <c r="P489" s="57" t="s">
        <v>70</v>
      </c>
      <c r="Q489" s="59">
        <v>1.23</v>
      </c>
      <c r="R489" s="53">
        <f t="shared" si="30"/>
        <v>3.8801261829652996E-2</v>
      </c>
      <c r="T489" s="21">
        <v>5</v>
      </c>
      <c r="U489" s="56" t="s">
        <v>181</v>
      </c>
      <c r="V489" s="21">
        <v>0.37</v>
      </c>
      <c r="W489" s="54">
        <f t="shared" si="31"/>
        <v>3.3333333333333333E-2</v>
      </c>
      <c r="Z489" s="47"/>
      <c r="AA489" s="21"/>
      <c r="AB489" s="21"/>
      <c r="AC489" s="50"/>
      <c r="AD489" s="16"/>
      <c r="AE489" s="55"/>
      <c r="AF489" s="55"/>
    </row>
    <row r="490" spans="2:32" ht="14" customHeight="1" x14ac:dyDescent="0.25">
      <c r="B490" s="21">
        <v>6</v>
      </c>
      <c r="C490" s="21" t="s">
        <v>129</v>
      </c>
      <c r="D490" s="50">
        <v>1.3</v>
      </c>
      <c r="E490" s="16">
        <f t="shared" si="32"/>
        <v>3.0373831775700938E-2</v>
      </c>
      <c r="F490" s="55">
        <f t="shared" si="27"/>
        <v>0.78082191780821919</v>
      </c>
      <c r="G490" s="55">
        <f t="shared" si="28"/>
        <v>0.13043478260869579</v>
      </c>
      <c r="H490" s="50"/>
      <c r="I490" s="15">
        <v>6</v>
      </c>
      <c r="J490" s="21" t="s">
        <v>74</v>
      </c>
      <c r="K490" s="57">
        <v>6.15</v>
      </c>
      <c r="L490" s="56">
        <f t="shared" si="29"/>
        <v>3.0250860796851943E-2</v>
      </c>
      <c r="M490" s="16">
        <f>K490/K744-1</f>
        <v>2.0147058823529411</v>
      </c>
      <c r="N490" s="21"/>
      <c r="O490" s="21">
        <v>6</v>
      </c>
      <c r="P490" s="57" t="s">
        <v>322</v>
      </c>
      <c r="Q490" s="59">
        <v>1.1200000000000001</v>
      </c>
      <c r="R490" s="53">
        <f t="shared" si="30"/>
        <v>3.5331230283911677E-2</v>
      </c>
      <c r="T490" s="21">
        <v>6</v>
      </c>
      <c r="U490" s="56" t="s">
        <v>103</v>
      </c>
      <c r="V490" s="21">
        <v>0.26</v>
      </c>
      <c r="W490" s="54">
        <f t="shared" si="31"/>
        <v>2.3423423423423424E-2</v>
      </c>
      <c r="Z490" s="47"/>
      <c r="AA490" s="21"/>
      <c r="AB490" s="21"/>
      <c r="AC490" s="50"/>
      <c r="AD490" s="16"/>
      <c r="AE490" s="52"/>
      <c r="AF490" s="55"/>
    </row>
    <row r="491" spans="2:32" ht="14" customHeight="1" x14ac:dyDescent="0.25">
      <c r="B491" s="21">
        <v>7</v>
      </c>
      <c r="C491" s="21" t="s">
        <v>74</v>
      </c>
      <c r="D491" s="50">
        <v>1.17</v>
      </c>
      <c r="E491" s="16">
        <f t="shared" si="32"/>
        <v>2.7336448598130843E-2</v>
      </c>
      <c r="F491" s="55">
        <f>D491/D769-1</f>
        <v>2.342857142857143</v>
      </c>
      <c r="G491" s="55">
        <f>D491/D511/1</f>
        <v>1.21875</v>
      </c>
      <c r="H491" s="50"/>
      <c r="I491" s="15">
        <v>7</v>
      </c>
      <c r="J491" s="21" t="s">
        <v>129</v>
      </c>
      <c r="K491" s="57">
        <v>5.95</v>
      </c>
      <c r="L491" s="56">
        <f t="shared" si="29"/>
        <v>2.9267092966060008E-2</v>
      </c>
      <c r="M491" s="16">
        <f>K491/K742-1</f>
        <v>0.59090909090909083</v>
      </c>
      <c r="N491" s="21"/>
      <c r="O491" s="21">
        <v>7</v>
      </c>
      <c r="P491" s="57" t="s">
        <v>129</v>
      </c>
      <c r="Q491" s="58">
        <v>0.92</v>
      </c>
      <c r="R491" s="53">
        <f t="shared" si="30"/>
        <v>2.9022082018927448E-2</v>
      </c>
      <c r="T491" s="21">
        <v>7</v>
      </c>
      <c r="U491" s="56" t="s">
        <v>185</v>
      </c>
      <c r="V491" s="49">
        <v>0.24</v>
      </c>
      <c r="W491" s="54">
        <f t="shared" si="31"/>
        <v>2.1621621621621623E-2</v>
      </c>
      <c r="Z491" s="47"/>
      <c r="AA491" s="21"/>
      <c r="AB491" s="21"/>
      <c r="AC491" s="50"/>
      <c r="AD491" s="16"/>
      <c r="AE491" s="52"/>
      <c r="AF491" s="55"/>
    </row>
    <row r="492" spans="2:32" ht="14" customHeight="1" x14ac:dyDescent="0.25">
      <c r="B492" s="21">
        <v>8</v>
      </c>
      <c r="C492" s="21" t="s">
        <v>322</v>
      </c>
      <c r="D492" s="50">
        <v>1.1200000000000001</v>
      </c>
      <c r="E492" s="16">
        <f t="shared" si="32"/>
        <v>2.6168224299065426E-2</v>
      </c>
      <c r="F492" s="55">
        <f>D492/D747-1</f>
        <v>3</v>
      </c>
      <c r="G492" s="55">
        <f>D492/D513-1</f>
        <v>0.86666666666666692</v>
      </c>
      <c r="H492" s="50"/>
      <c r="I492" s="15">
        <v>8</v>
      </c>
      <c r="J492" s="21" t="s">
        <v>322</v>
      </c>
      <c r="K492" s="57">
        <v>3.74</v>
      </c>
      <c r="L492" s="56">
        <f t="shared" si="29"/>
        <v>1.839645843580915E-2</v>
      </c>
      <c r="M492" s="16">
        <f>K492/K747-1</f>
        <v>2.3693693693693691</v>
      </c>
      <c r="N492" s="21"/>
      <c r="O492" s="21">
        <v>8</v>
      </c>
      <c r="P492" s="57" t="s">
        <v>323</v>
      </c>
      <c r="Q492" s="58">
        <v>0.75</v>
      </c>
      <c r="R492" s="53">
        <f t="shared" si="30"/>
        <v>2.3659305993690854E-2</v>
      </c>
      <c r="T492" s="21">
        <v>8</v>
      </c>
      <c r="U492" s="56" t="s">
        <v>101</v>
      </c>
      <c r="V492" s="21">
        <v>0.24</v>
      </c>
      <c r="W492" s="54">
        <f t="shared" si="31"/>
        <v>2.1621621621621623E-2</v>
      </c>
      <c r="Z492" s="47"/>
      <c r="AD492" s="227"/>
      <c r="AF492" s="47"/>
    </row>
    <row r="493" spans="2:32" ht="14" customHeight="1" x14ac:dyDescent="0.25">
      <c r="B493" s="21">
        <v>9</v>
      </c>
      <c r="C493" s="21" t="s">
        <v>323</v>
      </c>
      <c r="D493" s="50">
        <v>0.91</v>
      </c>
      <c r="E493" s="16">
        <f t="shared" si="32"/>
        <v>2.1261682242990656E-2</v>
      </c>
      <c r="F493" s="55">
        <f>E493/D743-1</f>
        <v>-0.95831042697452817</v>
      </c>
      <c r="G493" s="55">
        <f>D493/D512-1</f>
        <v>4.5977011494252817E-2</v>
      </c>
      <c r="H493" s="50"/>
      <c r="I493" s="15">
        <v>9</v>
      </c>
      <c r="J493" s="15" t="s">
        <v>370</v>
      </c>
      <c r="K493" s="57">
        <v>3.24</v>
      </c>
      <c r="L493" s="56">
        <f t="shared" si="29"/>
        <v>1.5937038858829317E-2</v>
      </c>
      <c r="M493" s="16">
        <f>K493/K746-1</f>
        <v>1.5920000000000001</v>
      </c>
      <c r="O493" s="21">
        <v>9</v>
      </c>
      <c r="P493" s="57" t="s">
        <v>74</v>
      </c>
      <c r="Q493" s="59">
        <v>0.59</v>
      </c>
      <c r="R493" s="53">
        <f t="shared" si="30"/>
        <v>1.8611987381703471E-2</v>
      </c>
      <c r="T493" s="21">
        <v>9</v>
      </c>
      <c r="U493" s="56" t="s">
        <v>370</v>
      </c>
      <c r="V493" s="21">
        <v>0.16</v>
      </c>
      <c r="W493" s="54">
        <f t="shared" si="31"/>
        <v>1.4414414414414415E-2</v>
      </c>
      <c r="Z493" s="47"/>
      <c r="AD493" s="227"/>
      <c r="AF493" s="47"/>
    </row>
    <row r="494" spans="2:32" ht="14" customHeight="1" x14ac:dyDescent="0.25">
      <c r="B494" s="21">
        <v>10</v>
      </c>
      <c r="C494" s="15" t="s">
        <v>172</v>
      </c>
      <c r="D494" s="50">
        <v>0.56999999999999995</v>
      </c>
      <c r="E494" s="16">
        <f t="shared" si="32"/>
        <v>1.3317757009345794E-2</v>
      </c>
      <c r="F494" s="55">
        <f>D494/D745-1</f>
        <v>0.35714285714285698</v>
      </c>
      <c r="G494" s="55">
        <f>D494/D514-1</f>
        <v>0.67647058823529393</v>
      </c>
      <c r="H494" s="50"/>
      <c r="I494" s="15">
        <v>10</v>
      </c>
      <c r="J494" s="21" t="s">
        <v>127</v>
      </c>
      <c r="K494" s="57">
        <v>2.96</v>
      </c>
      <c r="L494" s="56">
        <f t="shared" si="29"/>
        <v>1.4559763895720609E-2</v>
      </c>
      <c r="M494" s="16">
        <f>K494/K743-1</f>
        <v>4.9645390070921946E-2</v>
      </c>
      <c r="N494" s="21"/>
      <c r="O494" s="21">
        <v>10</v>
      </c>
      <c r="P494" s="57" t="s">
        <v>397</v>
      </c>
      <c r="Q494" s="58">
        <v>0.31</v>
      </c>
      <c r="R494" s="53">
        <f t="shared" si="30"/>
        <v>9.7791798107255516E-3</v>
      </c>
      <c r="T494" s="21">
        <v>10</v>
      </c>
      <c r="U494" s="56" t="s">
        <v>99</v>
      </c>
      <c r="V494" s="49">
        <v>0.04</v>
      </c>
      <c r="W494" s="54">
        <f t="shared" si="31"/>
        <v>3.6036036036036037E-3</v>
      </c>
      <c r="Z494" s="47"/>
      <c r="AD494" s="227"/>
      <c r="AF494" s="47"/>
    </row>
    <row r="495" spans="2:32" ht="14" customHeight="1" x14ac:dyDescent="0.25">
      <c r="B495" s="21">
        <v>11</v>
      </c>
      <c r="C495" s="21" t="s">
        <v>397</v>
      </c>
      <c r="D495" s="50">
        <v>0.31</v>
      </c>
      <c r="E495" s="16">
        <f t="shared" si="32"/>
        <v>7.2429906542056076E-3</v>
      </c>
      <c r="F495" s="55"/>
      <c r="G495" s="55">
        <f>D495/D515-1</f>
        <v>3.3333333333333437E-2</v>
      </c>
      <c r="H495" s="50"/>
      <c r="I495" s="15">
        <v>11</v>
      </c>
      <c r="J495" s="21" t="s">
        <v>397</v>
      </c>
      <c r="K495" s="57">
        <v>1.94</v>
      </c>
      <c r="L495" s="56">
        <f t="shared" si="29"/>
        <v>9.5425479586817505E-3</v>
      </c>
      <c r="M495" s="16"/>
      <c r="N495" s="21"/>
      <c r="O495" s="21">
        <v>11</v>
      </c>
      <c r="P495" s="57" t="s">
        <v>326</v>
      </c>
      <c r="Q495" s="58">
        <v>0.2</v>
      </c>
      <c r="R495" s="53">
        <f t="shared" si="30"/>
        <v>6.3091482649842278E-3</v>
      </c>
      <c r="T495" s="21">
        <v>11</v>
      </c>
      <c r="U495" s="56" t="s">
        <v>329</v>
      </c>
      <c r="V495" s="49">
        <v>0.01</v>
      </c>
      <c r="W495" s="54">
        <f t="shared" si="31"/>
        <v>9.0090090090090091E-4</v>
      </c>
      <c r="Z495" s="47"/>
      <c r="AD495" s="227"/>
      <c r="AF495" s="47"/>
    </row>
    <row r="496" spans="2:32" ht="14" customHeight="1" x14ac:dyDescent="0.25">
      <c r="B496" s="21">
        <v>12</v>
      </c>
      <c r="C496" s="21" t="s">
        <v>357</v>
      </c>
      <c r="D496" s="50">
        <v>0.25</v>
      </c>
      <c r="E496" s="16">
        <f t="shared" si="32"/>
        <v>5.8411214953271035E-3</v>
      </c>
      <c r="F496" s="55">
        <f>D496/D746-1</f>
        <v>-0.32432432432432434</v>
      </c>
      <c r="G496" s="55">
        <f>D496/D516-1</f>
        <v>0</v>
      </c>
      <c r="H496" s="50"/>
      <c r="I496" s="15">
        <v>12</v>
      </c>
      <c r="J496" s="21" t="s">
        <v>357</v>
      </c>
      <c r="K496" s="57">
        <v>1.75</v>
      </c>
      <c r="L496" s="56">
        <f t="shared" si="29"/>
        <v>8.607968519429415E-3</v>
      </c>
      <c r="M496" s="16">
        <f>K496/K745-1</f>
        <v>-6.4171122994652441E-2</v>
      </c>
      <c r="N496" s="21"/>
      <c r="O496" s="21">
        <v>12</v>
      </c>
      <c r="P496" s="57" t="s">
        <v>325</v>
      </c>
      <c r="Q496" s="59">
        <v>0.18</v>
      </c>
      <c r="R496" s="53">
        <f t="shared" si="30"/>
        <v>5.6782334384858045E-3</v>
      </c>
      <c r="T496" s="21">
        <v>12</v>
      </c>
      <c r="U496" s="56" t="s">
        <v>355</v>
      </c>
      <c r="V496" s="49">
        <v>0.01</v>
      </c>
      <c r="W496" s="54">
        <f t="shared" si="31"/>
        <v>9.0090090090090091E-4</v>
      </c>
      <c r="Z496" s="47"/>
      <c r="AD496" s="227"/>
      <c r="AF496" s="47"/>
    </row>
    <row r="497" spans="2:32" ht="14" customHeight="1" x14ac:dyDescent="0.25">
      <c r="B497" s="21">
        <v>13</v>
      </c>
      <c r="C497" s="21" t="s">
        <v>326</v>
      </c>
      <c r="D497" s="50">
        <v>0.21</v>
      </c>
      <c r="E497" s="16">
        <f t="shared" si="32"/>
        <v>4.9065420560747662E-3</v>
      </c>
      <c r="F497" s="55">
        <f>D497/D749-1</f>
        <v>0.16666666666666674</v>
      </c>
      <c r="G497" s="55">
        <f>D497/D517-1</f>
        <v>0.3125</v>
      </c>
      <c r="H497" s="50"/>
      <c r="I497" s="15">
        <v>13</v>
      </c>
      <c r="J497" s="21" t="s">
        <v>326</v>
      </c>
      <c r="K497" s="57">
        <v>0.84</v>
      </c>
      <c r="L497" s="56">
        <f t="shared" si="29"/>
        <v>4.1318248893261189E-3</v>
      </c>
      <c r="M497" s="16">
        <f>K497/K749-1</f>
        <v>0.75</v>
      </c>
      <c r="N497" s="21"/>
      <c r="O497" s="21">
        <v>13</v>
      </c>
      <c r="P497" s="57" t="s">
        <v>418</v>
      </c>
      <c r="Q497" s="59">
        <v>0.08</v>
      </c>
      <c r="R497" s="53">
        <f t="shared" si="30"/>
        <v>2.523659305993691E-3</v>
      </c>
      <c r="T497" s="21">
        <v>13</v>
      </c>
      <c r="U497" s="56" t="s">
        <v>458</v>
      </c>
      <c r="V497" s="49">
        <v>0.01</v>
      </c>
      <c r="W497" s="54">
        <f t="shared" si="31"/>
        <v>9.0090090090090091E-4</v>
      </c>
      <c r="Z497" s="47"/>
      <c r="AD497" s="227"/>
      <c r="AF497" s="47"/>
    </row>
    <row r="498" spans="2:32" ht="14" customHeight="1" x14ac:dyDescent="0.25">
      <c r="B498" s="21">
        <v>14</v>
      </c>
      <c r="C498" s="21" t="s">
        <v>325</v>
      </c>
      <c r="D498" s="50">
        <v>0.18</v>
      </c>
      <c r="E498" s="16">
        <f t="shared" si="32"/>
        <v>4.2056074766355141E-3</v>
      </c>
      <c r="F498" s="55"/>
      <c r="G498" s="55">
        <f>D498/D518-1</f>
        <v>1.5714285714285712</v>
      </c>
      <c r="H498" s="50"/>
      <c r="I498" s="15">
        <v>14</v>
      </c>
      <c r="J498" s="21" t="s">
        <v>325</v>
      </c>
      <c r="K498" s="57">
        <v>0.26</v>
      </c>
      <c r="L498" s="56">
        <f t="shared" si="29"/>
        <v>1.2788981800295131E-3</v>
      </c>
      <c r="M498" s="16"/>
      <c r="N498" s="21"/>
      <c r="O498" s="21">
        <v>14</v>
      </c>
      <c r="P498" s="57" t="s">
        <v>408</v>
      </c>
      <c r="Q498" s="59">
        <v>7.0000000000000007E-2</v>
      </c>
      <c r="R498" s="53">
        <f t="shared" si="30"/>
        <v>2.2082018927444798E-3</v>
      </c>
      <c r="T498" s="21">
        <v>14</v>
      </c>
      <c r="U498" s="56" t="s">
        <v>58</v>
      </c>
      <c r="V498" s="49">
        <v>0</v>
      </c>
      <c r="W498" s="54">
        <f t="shared" si="31"/>
        <v>0</v>
      </c>
      <c r="Z498" s="47"/>
      <c r="AD498" s="227"/>
      <c r="AF498" s="47"/>
    </row>
    <row r="499" spans="2:32" ht="14" customHeight="1" x14ac:dyDescent="0.25">
      <c r="B499" s="21">
        <v>15</v>
      </c>
      <c r="C499" s="21" t="s">
        <v>418</v>
      </c>
      <c r="D499" s="50">
        <v>0.08</v>
      </c>
      <c r="E499" s="16">
        <f t="shared" si="32"/>
        <v>1.869158878504673E-3</v>
      </c>
      <c r="F499" s="55"/>
      <c r="G499" s="55"/>
      <c r="H499" s="50"/>
      <c r="I499" s="15">
        <v>15</v>
      </c>
      <c r="J499" s="21" t="s">
        <v>408</v>
      </c>
      <c r="K499" s="57">
        <v>0.26</v>
      </c>
      <c r="L499" s="56">
        <f t="shared" si="29"/>
        <v>1.2788981800295131E-3</v>
      </c>
      <c r="M499" s="16">
        <f>K499/K751-1</f>
        <v>0.73333333333333339</v>
      </c>
      <c r="N499" s="21"/>
      <c r="O499" s="21">
        <v>15</v>
      </c>
      <c r="P499" s="57" t="s">
        <v>375</v>
      </c>
      <c r="Q499" s="58">
        <v>0.02</v>
      </c>
      <c r="R499" s="53">
        <f t="shared" si="30"/>
        <v>6.3091482649842276E-4</v>
      </c>
      <c r="T499" s="21">
        <v>15</v>
      </c>
      <c r="U499" s="56" t="s">
        <v>392</v>
      </c>
      <c r="V499" s="49">
        <v>0</v>
      </c>
      <c r="W499" s="54">
        <f t="shared" si="31"/>
        <v>0</v>
      </c>
      <c r="Z499" s="47"/>
      <c r="AD499" s="227"/>
      <c r="AF499" s="47"/>
    </row>
    <row r="500" spans="2:32" ht="14" customHeight="1" x14ac:dyDescent="0.25">
      <c r="B500" s="21"/>
      <c r="C500" s="21" t="s">
        <v>77</v>
      </c>
      <c r="D500" s="50">
        <f>D501-SUM(D485:D499)</f>
        <v>0.70000000000000284</v>
      </c>
      <c r="E500" s="16">
        <f t="shared" si="32"/>
        <v>1.6355140186915956E-2</v>
      </c>
      <c r="F500" s="52"/>
      <c r="G500" s="55"/>
      <c r="H500" s="50"/>
      <c r="I500" s="21"/>
      <c r="J500" s="21" t="s">
        <v>77</v>
      </c>
      <c r="K500" s="57">
        <f>K501-SUM(K485:K499)</f>
        <v>2.9200000000000159</v>
      </c>
      <c r="L500" s="56">
        <f t="shared" si="29"/>
        <v>1.43630103295623E-2</v>
      </c>
      <c r="M500" s="16"/>
      <c r="N500" s="21"/>
      <c r="P500" s="21" t="s">
        <v>77</v>
      </c>
      <c r="Q500" s="50">
        <f>Q501-SUM(Q485:Q499)</f>
        <v>8.9999999999999858E-2</v>
      </c>
      <c r="R500" s="53">
        <f t="shared" si="30"/>
        <v>2.8391167192428979E-3</v>
      </c>
      <c r="T500" s="56"/>
      <c r="U500" s="21" t="s">
        <v>77</v>
      </c>
      <c r="V500" s="50">
        <f>V501-SUM(V485:V499)</f>
        <v>0.52000000000000135</v>
      </c>
      <c r="W500" s="54">
        <f t="shared" si="31"/>
        <v>4.6846846846846972E-2</v>
      </c>
      <c r="Z500" s="47"/>
      <c r="AD500" s="227"/>
      <c r="AF500" s="47"/>
    </row>
    <row r="501" spans="2:32" ht="14" customHeight="1" x14ac:dyDescent="0.25">
      <c r="B501" s="21"/>
      <c r="C501" s="21" t="s">
        <v>78</v>
      </c>
      <c r="D501" s="50">
        <v>42.8</v>
      </c>
      <c r="E501" s="16">
        <f t="shared" si="32"/>
        <v>1</v>
      </c>
      <c r="F501" s="52">
        <f>D501/D753-1</f>
        <v>0.30091185410334353</v>
      </c>
      <c r="G501" s="55">
        <f>D501/D521-1</f>
        <v>7.268170426065157E-2</v>
      </c>
      <c r="H501" s="50"/>
      <c r="I501" s="21"/>
      <c r="J501" s="21" t="s">
        <v>78</v>
      </c>
      <c r="K501" s="57">
        <v>203.3</v>
      </c>
      <c r="L501" s="56">
        <f t="shared" si="29"/>
        <v>1</v>
      </c>
      <c r="M501" s="16">
        <f>K501/K753-1</f>
        <v>0.33635706303819113</v>
      </c>
      <c r="N501" s="21"/>
      <c r="P501" s="21" t="s">
        <v>78</v>
      </c>
      <c r="Q501" s="57">
        <v>31.7</v>
      </c>
      <c r="R501" s="53">
        <f t="shared" si="30"/>
        <v>1</v>
      </c>
      <c r="S501" s="228"/>
      <c r="U501" s="21" t="s">
        <v>78</v>
      </c>
      <c r="V501" s="57">
        <v>11.1</v>
      </c>
      <c r="W501" s="54">
        <f t="shared" si="31"/>
        <v>1</v>
      </c>
      <c r="X501" s="228"/>
      <c r="Z501" s="47"/>
      <c r="AD501" s="227"/>
      <c r="AF501" s="47"/>
    </row>
    <row r="502" spans="2:32" ht="14" customHeight="1" x14ac:dyDescent="0.25">
      <c r="D502" s="43"/>
      <c r="J502" s="43"/>
      <c r="O502" s="227"/>
      <c r="X502" s="227"/>
      <c r="Z502" s="47"/>
      <c r="AD502" s="227"/>
      <c r="AF502" s="47"/>
    </row>
    <row r="503" spans="2:32" ht="14" customHeight="1" x14ac:dyDescent="0.25">
      <c r="B503" s="15" t="s">
        <v>467</v>
      </c>
      <c r="C503" s="21"/>
      <c r="D503" s="50"/>
      <c r="E503" s="16"/>
      <c r="F503" s="52"/>
      <c r="G503" s="55"/>
      <c r="I503" s="15" t="s">
        <v>468</v>
      </c>
      <c r="O503" s="25" t="s">
        <v>469</v>
      </c>
      <c r="T503" s="25" t="s">
        <v>470</v>
      </c>
      <c r="Z503" s="47"/>
      <c r="AA503" s="25"/>
      <c r="AB503" s="15"/>
      <c r="AC503" s="15"/>
      <c r="AD503" s="15"/>
      <c r="AE503" s="15"/>
      <c r="AF503" s="15"/>
    </row>
    <row r="504" spans="2:32" ht="14" customHeight="1" x14ac:dyDescent="0.25">
      <c r="B504" s="21" t="s">
        <v>334</v>
      </c>
      <c r="C504" s="21" t="s">
        <v>335</v>
      </c>
      <c r="D504" s="9" t="s">
        <v>436</v>
      </c>
      <c r="E504" s="21" t="s">
        <v>337</v>
      </c>
      <c r="F504" s="21" t="s">
        <v>423</v>
      </c>
      <c r="G504" s="21" t="s">
        <v>424</v>
      </c>
      <c r="I504" s="21" t="s">
        <v>334</v>
      </c>
      <c r="J504" s="21" t="s">
        <v>335</v>
      </c>
      <c r="K504" s="9" t="s">
        <v>437</v>
      </c>
      <c r="L504" s="21" t="s">
        <v>337</v>
      </c>
      <c r="M504" s="21" t="s">
        <v>423</v>
      </c>
      <c r="N504" s="21"/>
      <c r="O504" s="21" t="s">
        <v>334</v>
      </c>
      <c r="P504" s="21" t="s">
        <v>335</v>
      </c>
      <c r="Q504" s="50" t="s">
        <v>438</v>
      </c>
      <c r="R504" s="56" t="s">
        <v>384</v>
      </c>
      <c r="S504" s="21"/>
      <c r="T504" s="21" t="s">
        <v>334</v>
      </c>
      <c r="U504" s="56" t="s">
        <v>381</v>
      </c>
      <c r="V504" s="21" t="s">
        <v>438</v>
      </c>
      <c r="W504" s="57" t="s">
        <v>337</v>
      </c>
      <c r="X504" s="21"/>
      <c r="Z504" s="47"/>
      <c r="AA504" s="21"/>
      <c r="AB504" s="21"/>
      <c r="AC504" s="9"/>
      <c r="AD504" s="21"/>
      <c r="AE504" s="21"/>
      <c r="AF504" s="21"/>
    </row>
    <row r="505" spans="2:32" ht="14" customHeight="1" x14ac:dyDescent="0.25">
      <c r="B505" s="21">
        <v>1</v>
      </c>
      <c r="C505" s="21" t="s">
        <v>68</v>
      </c>
      <c r="D505" s="50">
        <v>17.29</v>
      </c>
      <c r="E505" s="16">
        <f>D505/D$521</f>
        <v>0.43333333333333335</v>
      </c>
      <c r="F505" s="55">
        <f>D505/11.67-1</f>
        <v>0.48157669237360756</v>
      </c>
      <c r="G505" s="55">
        <f>D505/D525-1</f>
        <v>0.10479233226837059</v>
      </c>
      <c r="I505" s="21">
        <v>1</v>
      </c>
      <c r="J505" s="21" t="s">
        <v>68</v>
      </c>
      <c r="K505" s="57">
        <v>74.260000000000005</v>
      </c>
      <c r="L505" s="56">
        <f>K505/K$521</f>
        <v>0.46267912772585673</v>
      </c>
      <c r="M505" s="16">
        <f>K505/51.18-1</f>
        <v>0.45095740523642069</v>
      </c>
      <c r="N505" s="21"/>
      <c r="O505" s="21">
        <v>1</v>
      </c>
      <c r="P505" s="57" t="s">
        <v>69</v>
      </c>
      <c r="Q505" s="59">
        <v>11.42</v>
      </c>
      <c r="R505" s="53">
        <f>Q505/Q$521</f>
        <v>0.38711864406779661</v>
      </c>
      <c r="T505" s="21">
        <v>1</v>
      </c>
      <c r="U505" s="56" t="s">
        <v>98</v>
      </c>
      <c r="V505" s="21">
        <v>6.74</v>
      </c>
      <c r="W505" s="54">
        <f>V505/V$521</f>
        <v>0.64807692307692311</v>
      </c>
      <c r="Z505" s="47"/>
      <c r="AA505" s="21"/>
      <c r="AB505" s="21"/>
      <c r="AC505" s="50"/>
      <c r="AD505" s="16"/>
      <c r="AE505" s="55"/>
      <c r="AF505" s="55"/>
    </row>
    <row r="506" spans="2:32" ht="14" customHeight="1" x14ac:dyDescent="0.25">
      <c r="B506" s="21">
        <v>2</v>
      </c>
      <c r="C506" s="21" t="s">
        <v>69</v>
      </c>
      <c r="D506" s="50">
        <v>11.42</v>
      </c>
      <c r="E506" s="16">
        <f t="shared" ref="E506:E521" si="33">D506/D$521</f>
        <v>0.28621553884711781</v>
      </c>
      <c r="F506" s="55">
        <f>D506/8.68-1</f>
        <v>0.31566820276497709</v>
      </c>
      <c r="G506" s="55">
        <f>D506/D526-1</f>
        <v>0.14773869346733681</v>
      </c>
      <c r="I506" s="21">
        <v>2</v>
      </c>
      <c r="J506" s="21" t="s">
        <v>69</v>
      </c>
      <c r="K506" s="57">
        <v>39.799999999999997</v>
      </c>
      <c r="L506" s="56">
        <f t="shared" ref="L506:L521" si="34">K506/K$521</f>
        <v>0.24797507788161993</v>
      </c>
      <c r="M506" s="16">
        <f>K506/36.4-1</f>
        <v>9.3406593406593297E-2</v>
      </c>
      <c r="N506" s="21"/>
      <c r="O506" s="21">
        <v>2</v>
      </c>
      <c r="P506" s="57" t="s">
        <v>68</v>
      </c>
      <c r="Q506" s="59">
        <v>10.55</v>
      </c>
      <c r="R506" s="53">
        <f t="shared" ref="R506:R521" si="35">Q506/Q$521</f>
        <v>0.35762711864406782</v>
      </c>
      <c r="T506" s="21">
        <v>2</v>
      </c>
      <c r="U506" s="56" t="s">
        <v>100</v>
      </c>
      <c r="V506" s="21">
        <v>1.05</v>
      </c>
      <c r="W506" s="54">
        <f t="shared" ref="W506:W521" si="36">V506/V$521</f>
        <v>0.10096153846153846</v>
      </c>
      <c r="Z506" s="47"/>
      <c r="AA506" s="21"/>
      <c r="AB506" s="21"/>
      <c r="AC506" s="50"/>
      <c r="AD506" s="16"/>
      <c r="AE506" s="55"/>
      <c r="AF506" s="55"/>
    </row>
    <row r="507" spans="2:32" ht="14" customHeight="1" x14ac:dyDescent="0.25">
      <c r="B507" s="21">
        <v>3</v>
      </c>
      <c r="C507" s="21" t="s">
        <v>71</v>
      </c>
      <c r="D507" s="50">
        <v>3</v>
      </c>
      <c r="E507" s="16">
        <f t="shared" si="33"/>
        <v>7.5187969924812026E-2</v>
      </c>
      <c r="F507" s="55">
        <f>D507/2.19-1</f>
        <v>0.36986301369863006</v>
      </c>
      <c r="G507" s="55">
        <f>D507/D527-1</f>
        <v>0.18110236220472431</v>
      </c>
      <c r="H507" s="50"/>
      <c r="I507" s="21">
        <v>3</v>
      </c>
      <c r="J507" s="21" t="s">
        <v>71</v>
      </c>
      <c r="K507" s="57">
        <v>10.73</v>
      </c>
      <c r="L507" s="56">
        <f t="shared" si="34"/>
        <v>6.6853582554517135E-2</v>
      </c>
      <c r="M507" s="16">
        <f>K507/9.66-1</f>
        <v>0.11076604554865432</v>
      </c>
      <c r="N507" s="21"/>
      <c r="O507" s="21">
        <v>3</v>
      </c>
      <c r="P507" s="57" t="s">
        <v>71</v>
      </c>
      <c r="Q507" s="58">
        <v>1.95</v>
      </c>
      <c r="R507" s="53">
        <f t="shared" si="35"/>
        <v>6.6101694915254236E-2</v>
      </c>
      <c r="T507" s="21">
        <v>3</v>
      </c>
      <c r="U507" s="21" t="s">
        <v>74</v>
      </c>
      <c r="V507" s="21">
        <v>0.54</v>
      </c>
      <c r="W507" s="54">
        <f t="shared" si="36"/>
        <v>5.1923076923076926E-2</v>
      </c>
      <c r="Z507" s="47"/>
      <c r="AA507" s="21"/>
      <c r="AB507" s="21"/>
      <c r="AC507" s="50"/>
      <c r="AD507" s="16"/>
      <c r="AE507" s="55"/>
      <c r="AF507" s="55"/>
    </row>
    <row r="508" spans="2:32" ht="14" customHeight="1" x14ac:dyDescent="0.25">
      <c r="B508" s="21">
        <v>4</v>
      </c>
      <c r="C508" s="21" t="s">
        <v>73</v>
      </c>
      <c r="D508" s="50">
        <v>1.54</v>
      </c>
      <c r="E508" s="16">
        <f t="shared" si="33"/>
        <v>3.8596491228070177E-2</v>
      </c>
      <c r="F508" s="55">
        <f>D508/1.33-1</f>
        <v>0.15789473684210531</v>
      </c>
      <c r="G508" s="55">
        <f>D508/D528-1</f>
        <v>6.944444444444442E-2</v>
      </c>
      <c r="H508" s="50"/>
      <c r="I508" s="21">
        <v>4</v>
      </c>
      <c r="J508" s="21" t="s">
        <v>73</v>
      </c>
      <c r="K508" s="57">
        <v>6.78</v>
      </c>
      <c r="L508" s="56">
        <f t="shared" si="34"/>
        <v>4.2242990654205607E-2</v>
      </c>
      <c r="M508" s="16">
        <f>K508/5.13-1</f>
        <v>0.32163742690058483</v>
      </c>
      <c r="N508" s="21"/>
      <c r="O508" s="21">
        <v>4</v>
      </c>
      <c r="P508" s="57" t="s">
        <v>73</v>
      </c>
      <c r="Q508" s="59">
        <v>1.22</v>
      </c>
      <c r="R508" s="53">
        <f t="shared" si="35"/>
        <v>4.1355932203389831E-2</v>
      </c>
      <c r="T508" s="21">
        <v>4</v>
      </c>
      <c r="U508" s="56" t="s">
        <v>172</v>
      </c>
      <c r="V508" s="21">
        <v>0.34</v>
      </c>
      <c r="W508" s="54">
        <f t="shared" si="36"/>
        <v>3.2692307692307694E-2</v>
      </c>
      <c r="Z508" s="47"/>
      <c r="AA508" s="21"/>
      <c r="AB508" s="21"/>
      <c r="AC508" s="50"/>
      <c r="AD508" s="16"/>
      <c r="AE508" s="55"/>
      <c r="AF508" s="55"/>
    </row>
    <row r="509" spans="2:32" ht="14" customHeight="1" x14ac:dyDescent="0.25">
      <c r="B509" s="21">
        <v>5</v>
      </c>
      <c r="C509" s="21" t="s">
        <v>70</v>
      </c>
      <c r="D509" s="50">
        <v>1.28</v>
      </c>
      <c r="E509" s="16">
        <f t="shared" si="33"/>
        <v>3.2080200501253132E-2</v>
      </c>
      <c r="F509" s="55">
        <f>D509/1.01-1</f>
        <v>0.26732673267326734</v>
      </c>
      <c r="G509" s="55">
        <f>D509/D529-1</f>
        <v>-2.2900763358778664E-2</v>
      </c>
      <c r="H509" s="50"/>
      <c r="I509" s="21">
        <v>5</v>
      </c>
      <c r="J509" s="21" t="s">
        <v>70</v>
      </c>
      <c r="K509" s="57">
        <v>5.71</v>
      </c>
      <c r="L509" s="56">
        <f t="shared" si="34"/>
        <v>3.5576323987538939E-2</v>
      </c>
      <c r="M509" s="16">
        <f>K509/4.84-1</f>
        <v>0.1797520661157026</v>
      </c>
      <c r="N509" s="21"/>
      <c r="O509" s="21">
        <v>5</v>
      </c>
      <c r="P509" s="57" t="s">
        <v>70</v>
      </c>
      <c r="Q509" s="59">
        <v>1.1100000000000001</v>
      </c>
      <c r="R509" s="53">
        <f t="shared" si="35"/>
        <v>3.76271186440678E-2</v>
      </c>
      <c r="T509" s="21">
        <v>5</v>
      </c>
      <c r="U509" s="56" t="s">
        <v>103</v>
      </c>
      <c r="V509" s="21">
        <v>0.32</v>
      </c>
      <c r="W509" s="54">
        <f t="shared" si="36"/>
        <v>3.0769230769230767E-2</v>
      </c>
      <c r="Z509" s="47"/>
      <c r="AA509" s="21"/>
      <c r="AB509" s="21"/>
      <c r="AC509" s="50"/>
      <c r="AD509" s="16"/>
      <c r="AE509" s="55"/>
      <c r="AF509" s="55"/>
    </row>
    <row r="510" spans="2:32" ht="14" customHeight="1" x14ac:dyDescent="0.25">
      <c r="B510" s="21">
        <v>6</v>
      </c>
      <c r="C510" s="21" t="s">
        <v>129</v>
      </c>
      <c r="D510" s="50">
        <v>1.1499999999999999</v>
      </c>
      <c r="E510" s="16">
        <f t="shared" si="33"/>
        <v>2.882205513784461E-2</v>
      </c>
      <c r="F510" s="55">
        <f>D510/0.7-1</f>
        <v>0.64285714285714279</v>
      </c>
      <c r="G510" s="55">
        <f>D510/D531-1</f>
        <v>0.14999999999999991</v>
      </c>
      <c r="H510" s="50"/>
      <c r="I510" s="21">
        <v>6</v>
      </c>
      <c r="J510" s="21" t="s">
        <v>74</v>
      </c>
      <c r="K510" s="57">
        <v>4.9800000000000004</v>
      </c>
      <c r="L510" s="56">
        <f t="shared" si="34"/>
        <v>3.1028037383177574E-2</v>
      </c>
      <c r="M510" s="16">
        <f>K510/1.55-1</f>
        <v>2.2129032258064516</v>
      </c>
      <c r="N510" s="21"/>
      <c r="O510" s="21">
        <v>6</v>
      </c>
      <c r="P510" s="57" t="s">
        <v>129</v>
      </c>
      <c r="Q510" s="59">
        <v>0.86</v>
      </c>
      <c r="R510" s="53">
        <f t="shared" si="35"/>
        <v>2.9152542372881354E-2</v>
      </c>
      <c r="T510" s="21">
        <v>6</v>
      </c>
      <c r="U510" s="56" t="s">
        <v>181</v>
      </c>
      <c r="V510" s="21">
        <v>0.28000000000000003</v>
      </c>
      <c r="W510" s="54">
        <f t="shared" si="36"/>
        <v>2.6923076923076925E-2</v>
      </c>
      <c r="Z510" s="47"/>
      <c r="AA510" s="21"/>
      <c r="AB510" s="21"/>
      <c r="AC510" s="50"/>
      <c r="AD510" s="16"/>
      <c r="AE510" s="52"/>
      <c r="AF510" s="55"/>
    </row>
    <row r="511" spans="2:32" ht="14" customHeight="1" x14ac:dyDescent="0.25">
      <c r="B511" s="21">
        <v>7</v>
      </c>
      <c r="C511" s="21" t="s">
        <v>74</v>
      </c>
      <c r="D511" s="50">
        <v>0.96</v>
      </c>
      <c r="E511" s="16">
        <f t="shared" si="33"/>
        <v>2.4060150375939851E-2</v>
      </c>
      <c r="F511" s="55">
        <f>D511/0.91-1</f>
        <v>5.4945054945054972E-2</v>
      </c>
      <c r="G511" s="55">
        <f>D511/D530-1</f>
        <v>-0.12727272727272743</v>
      </c>
      <c r="H511" s="50"/>
      <c r="I511" s="21">
        <v>7</v>
      </c>
      <c r="J511" s="21" t="s">
        <v>129</v>
      </c>
      <c r="K511" s="57">
        <v>4.66</v>
      </c>
      <c r="L511" s="56">
        <f t="shared" si="34"/>
        <v>2.9034267912772586E-2</v>
      </c>
      <c r="M511" s="16">
        <f>K511/3.01-1</f>
        <v>0.54817275747508321</v>
      </c>
      <c r="N511" s="21"/>
      <c r="O511" s="21">
        <v>7</v>
      </c>
      <c r="P511" s="57" t="s">
        <v>323</v>
      </c>
      <c r="Q511" s="58">
        <v>0.68</v>
      </c>
      <c r="R511" s="53">
        <f t="shared" si="35"/>
        <v>2.305084745762712E-2</v>
      </c>
      <c r="T511" s="21">
        <v>7</v>
      </c>
      <c r="U511" s="56" t="s">
        <v>185</v>
      </c>
      <c r="V511" s="49">
        <v>0.24</v>
      </c>
      <c r="W511" s="54">
        <f t="shared" si="36"/>
        <v>2.3076923076923075E-2</v>
      </c>
      <c r="Z511" s="47"/>
      <c r="AA511" s="21"/>
      <c r="AB511" s="21"/>
      <c r="AC511" s="50"/>
      <c r="AD511" s="16"/>
      <c r="AE511" s="52"/>
      <c r="AF511" s="55"/>
    </row>
    <row r="512" spans="2:32" ht="14" customHeight="1" x14ac:dyDescent="0.25">
      <c r="B512" s="21">
        <v>8</v>
      </c>
      <c r="C512" s="21" t="s">
        <v>323</v>
      </c>
      <c r="D512" s="50">
        <v>0.87</v>
      </c>
      <c r="E512" s="16">
        <f t="shared" si="33"/>
        <v>2.180451127819549E-2</v>
      </c>
      <c r="F512" s="55">
        <f>D512/0.43-1</f>
        <v>1.0232558139534884</v>
      </c>
      <c r="G512" s="55">
        <f>D512/D532-1</f>
        <v>0.97727272727272729</v>
      </c>
      <c r="H512" s="50"/>
      <c r="I512" s="21">
        <v>8</v>
      </c>
      <c r="J512" s="21" t="s">
        <v>322</v>
      </c>
      <c r="K512" s="57">
        <v>2.62</v>
      </c>
      <c r="L512" s="56">
        <f t="shared" si="34"/>
        <v>1.632398753894081E-2</v>
      </c>
      <c r="M512" s="16">
        <f>K512/0.83-1</f>
        <v>2.1566265060240966</v>
      </c>
      <c r="N512" s="21"/>
      <c r="O512" s="21">
        <v>8</v>
      </c>
      <c r="P512" s="57" t="s">
        <v>322</v>
      </c>
      <c r="Q512" s="58">
        <v>0.6</v>
      </c>
      <c r="R512" s="53">
        <f t="shared" si="35"/>
        <v>2.0338983050847456E-2</v>
      </c>
      <c r="T512" s="21">
        <v>8</v>
      </c>
      <c r="U512" s="56" t="s">
        <v>370</v>
      </c>
      <c r="V512" s="21">
        <v>0.19</v>
      </c>
      <c r="W512" s="54">
        <f t="shared" si="36"/>
        <v>1.826923076923077E-2</v>
      </c>
      <c r="Z512" s="47"/>
      <c r="AD512" s="227"/>
      <c r="AF512" s="47"/>
    </row>
    <row r="513" spans="2:32" ht="14" customHeight="1" x14ac:dyDescent="0.25">
      <c r="B513" s="21">
        <v>9</v>
      </c>
      <c r="C513" s="21" t="s">
        <v>322</v>
      </c>
      <c r="D513" s="50">
        <v>0.6</v>
      </c>
      <c r="E513" s="16">
        <f t="shared" si="33"/>
        <v>1.5037593984962405E-2</v>
      </c>
      <c r="F513" s="55">
        <f>D513/0.41-1</f>
        <v>0.46341463414634143</v>
      </c>
      <c r="G513" s="55">
        <f>D513/D534-1</f>
        <v>0.62162162162162149</v>
      </c>
      <c r="H513" s="50"/>
      <c r="I513" s="21">
        <v>9</v>
      </c>
      <c r="J513" s="15" t="s">
        <v>172</v>
      </c>
      <c r="K513" s="57">
        <v>2.39</v>
      </c>
      <c r="L513" s="56">
        <f t="shared" si="34"/>
        <v>1.4890965732087228E-2</v>
      </c>
      <c r="M513" s="16">
        <f>K513/2.4-1</f>
        <v>-4.1666666666665408E-3</v>
      </c>
      <c r="O513" s="21">
        <v>9</v>
      </c>
      <c r="P513" s="57" t="s">
        <v>74</v>
      </c>
      <c r="Q513" s="59">
        <v>0.42</v>
      </c>
      <c r="R513" s="53">
        <f t="shared" si="35"/>
        <v>1.423728813559322E-2</v>
      </c>
      <c r="T513" s="21">
        <v>9</v>
      </c>
      <c r="U513" s="56" t="s">
        <v>101</v>
      </c>
      <c r="V513" s="21">
        <v>0.17</v>
      </c>
      <c r="W513" s="54">
        <f t="shared" si="36"/>
        <v>1.6346153846153847E-2</v>
      </c>
      <c r="Z513" s="47"/>
      <c r="AD513" s="227"/>
      <c r="AF513" s="47"/>
    </row>
    <row r="514" spans="2:32" ht="14" customHeight="1" x14ac:dyDescent="0.25">
      <c r="B514" s="21">
        <v>10</v>
      </c>
      <c r="C514" s="15" t="s">
        <v>172</v>
      </c>
      <c r="D514" s="50">
        <v>0.34</v>
      </c>
      <c r="E514" s="16">
        <f t="shared" si="33"/>
        <v>8.5213032581453636E-3</v>
      </c>
      <c r="F514" s="55">
        <f>D514/0.68-1</f>
        <v>-0.5</v>
      </c>
      <c r="G514" s="55">
        <f>D514/D533-1</f>
        <v>-0.12820512820512819</v>
      </c>
      <c r="H514" s="50"/>
      <c r="I514" s="21">
        <v>10</v>
      </c>
      <c r="J514" s="21" t="s">
        <v>323</v>
      </c>
      <c r="K514" s="57">
        <v>2.33</v>
      </c>
      <c r="L514" s="56">
        <f t="shared" si="34"/>
        <v>1.4517133956386293E-2</v>
      </c>
      <c r="M514" s="16">
        <f>K514/0.74-1</f>
        <v>2.1486486486486487</v>
      </c>
      <c r="N514" s="21"/>
      <c r="O514" s="21">
        <v>10</v>
      </c>
      <c r="P514" s="57" t="s">
        <v>397</v>
      </c>
      <c r="Q514" s="58">
        <v>0.3</v>
      </c>
      <c r="R514" s="53">
        <f t="shared" si="35"/>
        <v>1.0169491525423728E-2</v>
      </c>
      <c r="T514" s="21">
        <v>10</v>
      </c>
      <c r="U514" s="56" t="s">
        <v>458</v>
      </c>
      <c r="V514" s="49">
        <v>0</v>
      </c>
      <c r="W514" s="54">
        <f t="shared" si="36"/>
        <v>0</v>
      </c>
      <c r="Z514" s="47"/>
      <c r="AD514" s="227"/>
      <c r="AF514" s="47"/>
    </row>
    <row r="515" spans="2:32" ht="14" customHeight="1" x14ac:dyDescent="0.25">
      <c r="B515" s="21">
        <v>11</v>
      </c>
      <c r="C515" s="21" t="s">
        <v>397</v>
      </c>
      <c r="D515" s="50">
        <v>0.3</v>
      </c>
      <c r="E515" s="16">
        <f t="shared" si="33"/>
        <v>7.5187969924812026E-3</v>
      </c>
      <c r="F515" s="55"/>
      <c r="G515" s="55">
        <f>D515/D535-1</f>
        <v>-6.25E-2</v>
      </c>
      <c r="H515" s="50"/>
      <c r="I515" s="21">
        <v>11</v>
      </c>
      <c r="J515" s="21" t="s">
        <v>397</v>
      </c>
      <c r="K515" s="57">
        <v>1.64</v>
      </c>
      <c r="L515" s="56">
        <f t="shared" si="34"/>
        <v>1.0218068535825544E-2</v>
      </c>
      <c r="M515" s="16"/>
      <c r="N515" s="21"/>
      <c r="O515" s="21">
        <v>11</v>
      </c>
      <c r="P515" s="57" t="s">
        <v>326</v>
      </c>
      <c r="Q515" s="58">
        <v>0.16</v>
      </c>
      <c r="R515" s="53">
        <f t="shared" si="35"/>
        <v>5.4237288135593224E-3</v>
      </c>
      <c r="T515" s="21">
        <v>11</v>
      </c>
      <c r="U515" s="56" t="s">
        <v>355</v>
      </c>
      <c r="V515" s="49">
        <v>0</v>
      </c>
      <c r="W515" s="54">
        <f t="shared" si="36"/>
        <v>0</v>
      </c>
      <c r="Z515" s="47"/>
      <c r="AD515" s="227"/>
      <c r="AF515" s="47"/>
    </row>
    <row r="516" spans="2:32" ht="14" customHeight="1" x14ac:dyDescent="0.25">
      <c r="B516" s="21">
        <v>12</v>
      </c>
      <c r="C516" s="21" t="s">
        <v>357</v>
      </c>
      <c r="D516" s="50">
        <v>0.25</v>
      </c>
      <c r="E516" s="16">
        <f t="shared" si="33"/>
        <v>6.265664160401003E-3</v>
      </c>
      <c r="F516" s="55">
        <f>D516/0.42-1</f>
        <v>-0.40476190476190477</v>
      </c>
      <c r="G516" s="55">
        <f>D516/D536-1</f>
        <v>-7.4074074074074181E-2</v>
      </c>
      <c r="H516" s="50"/>
      <c r="I516" s="21">
        <v>12</v>
      </c>
      <c r="J516" s="21" t="s">
        <v>357</v>
      </c>
      <c r="K516" s="57">
        <v>1.5</v>
      </c>
      <c r="L516" s="56">
        <f t="shared" si="34"/>
        <v>9.3457943925233638E-3</v>
      </c>
      <c r="M516" s="16">
        <f>K516/1.5-1</f>
        <v>0</v>
      </c>
      <c r="N516" s="21"/>
      <c r="O516" s="21">
        <v>12</v>
      </c>
      <c r="P516" s="57" t="s">
        <v>325</v>
      </c>
      <c r="Q516" s="59">
        <v>7.0000000000000007E-2</v>
      </c>
      <c r="R516" s="53">
        <f t="shared" si="35"/>
        <v>2.3728813559322037E-3</v>
      </c>
      <c r="T516" s="21">
        <v>12</v>
      </c>
      <c r="U516" s="56" t="s">
        <v>58</v>
      </c>
      <c r="V516" s="49">
        <v>0</v>
      </c>
      <c r="W516" s="54">
        <f t="shared" si="36"/>
        <v>0</v>
      </c>
      <c r="Z516" s="47"/>
      <c r="AD516" s="227"/>
      <c r="AF516" s="47"/>
    </row>
    <row r="517" spans="2:32" ht="14" customHeight="1" x14ac:dyDescent="0.25">
      <c r="B517" s="21">
        <v>13</v>
      </c>
      <c r="C517" s="21" t="s">
        <v>326</v>
      </c>
      <c r="D517" s="50">
        <v>0.16</v>
      </c>
      <c r="E517" s="16">
        <f t="shared" si="33"/>
        <v>4.0100250626566416E-3</v>
      </c>
      <c r="F517" s="55">
        <f>D517/0.12-1</f>
        <v>0.33333333333333348</v>
      </c>
      <c r="G517" s="55">
        <f>D517/D537-1</f>
        <v>1.2857142857142856</v>
      </c>
      <c r="H517" s="50"/>
      <c r="I517" s="21">
        <v>13</v>
      </c>
      <c r="J517" s="21" t="s">
        <v>326</v>
      </c>
      <c r="K517" s="57">
        <v>0.63</v>
      </c>
      <c r="L517" s="56">
        <f t="shared" si="34"/>
        <v>3.9252336448598133E-3</v>
      </c>
      <c r="M517" s="16">
        <f>K517/0.29-1</f>
        <v>1.1724137931034484</v>
      </c>
      <c r="N517" s="21"/>
      <c r="O517" s="21">
        <v>13</v>
      </c>
      <c r="P517" s="57" t="s">
        <v>408</v>
      </c>
      <c r="Q517" s="59">
        <v>0.05</v>
      </c>
      <c r="R517" s="53">
        <f t="shared" si="35"/>
        <v>1.6949152542372883E-3</v>
      </c>
      <c r="T517" s="21">
        <v>13</v>
      </c>
      <c r="U517" s="56" t="s">
        <v>441</v>
      </c>
      <c r="V517" s="49">
        <v>0</v>
      </c>
      <c r="W517" s="54">
        <f t="shared" si="36"/>
        <v>0</v>
      </c>
      <c r="Z517" s="47"/>
      <c r="AD517" s="227"/>
      <c r="AF517" s="47"/>
    </row>
    <row r="518" spans="2:32" ht="14" customHeight="1" x14ac:dyDescent="0.25">
      <c r="B518" s="21">
        <v>14</v>
      </c>
      <c r="C518" s="21" t="s">
        <v>325</v>
      </c>
      <c r="D518" s="50">
        <v>7.0000000000000007E-2</v>
      </c>
      <c r="E518" s="16">
        <f t="shared" si="33"/>
        <v>1.754385964912281E-3</v>
      </c>
      <c r="F518" s="55"/>
      <c r="G518" s="55"/>
      <c r="H518" s="50"/>
      <c r="I518" s="21">
        <v>14</v>
      </c>
      <c r="J518" s="21" t="s">
        <v>408</v>
      </c>
      <c r="K518" s="57">
        <v>0.18</v>
      </c>
      <c r="L518" s="56">
        <f t="shared" si="34"/>
        <v>1.1214953271028037E-3</v>
      </c>
      <c r="M518" s="16">
        <f>K518/0.14-1</f>
        <v>0.28571428571428559</v>
      </c>
      <c r="N518" s="21"/>
      <c r="O518" s="21">
        <v>14</v>
      </c>
      <c r="P518" s="57" t="s">
        <v>427</v>
      </c>
      <c r="Q518" s="59">
        <v>0.02</v>
      </c>
      <c r="R518" s="53">
        <f t="shared" si="35"/>
        <v>6.779661016949153E-4</v>
      </c>
      <c r="T518" s="21">
        <v>14</v>
      </c>
      <c r="U518" s="56" t="s">
        <v>99</v>
      </c>
      <c r="V518" s="49">
        <v>0</v>
      </c>
      <c r="W518" s="54">
        <f t="shared" si="36"/>
        <v>0</v>
      </c>
      <c r="Z518" s="47"/>
      <c r="AD518" s="227"/>
      <c r="AF518" s="47"/>
    </row>
    <row r="519" spans="2:32" ht="14" customHeight="1" x14ac:dyDescent="0.25">
      <c r="B519" s="21">
        <v>15</v>
      </c>
      <c r="C519" s="21" t="s">
        <v>408</v>
      </c>
      <c r="D519" s="50">
        <v>0.05</v>
      </c>
      <c r="E519" s="16">
        <f t="shared" si="33"/>
        <v>1.2531328320802006E-3</v>
      </c>
      <c r="F519" s="55"/>
      <c r="G519" s="55">
        <f>D519/D538-1</f>
        <v>0</v>
      </c>
      <c r="H519" s="50"/>
      <c r="I519" s="21">
        <v>15</v>
      </c>
      <c r="J519" s="21" t="s">
        <v>325</v>
      </c>
      <c r="K519" s="57">
        <v>0.09</v>
      </c>
      <c r="L519" s="56">
        <f t="shared" si="34"/>
        <v>5.6074766355140187E-4</v>
      </c>
      <c r="M519" s="16"/>
      <c r="N519" s="21"/>
      <c r="O519" s="21">
        <v>15</v>
      </c>
      <c r="P519" s="57" t="s">
        <v>471</v>
      </c>
      <c r="Q519" s="58">
        <v>0.02</v>
      </c>
      <c r="R519" s="53">
        <f t="shared" si="35"/>
        <v>6.779661016949153E-4</v>
      </c>
      <c r="T519" s="21">
        <v>15</v>
      </c>
      <c r="U519" s="56" t="s">
        <v>392</v>
      </c>
      <c r="V519" s="49">
        <v>0</v>
      </c>
      <c r="W519" s="54">
        <f t="shared" si="36"/>
        <v>0</v>
      </c>
      <c r="Z519" s="47"/>
      <c r="AD519" s="227"/>
      <c r="AF519" s="47"/>
    </row>
    <row r="520" spans="2:32" ht="14" customHeight="1" x14ac:dyDescent="0.25">
      <c r="B520" s="21"/>
      <c r="C520" s="21" t="s">
        <v>77</v>
      </c>
      <c r="D520" s="50">
        <f>D521-SUM(D505:D519)</f>
        <v>0.62000000000000455</v>
      </c>
      <c r="E520" s="16">
        <f t="shared" si="33"/>
        <v>1.55388471177946E-2</v>
      </c>
      <c r="F520" s="52"/>
      <c r="G520" s="55"/>
      <c r="H520" s="50"/>
      <c r="I520" s="21"/>
      <c r="J520" s="21" t="s">
        <v>77</v>
      </c>
      <c r="K520" s="57">
        <f>K521-SUM(K505:K519)</f>
        <v>2.2000000000000171</v>
      </c>
      <c r="L520" s="56">
        <f t="shared" si="34"/>
        <v>1.3707165109034374E-2</v>
      </c>
      <c r="M520" s="16"/>
      <c r="N520" s="21"/>
      <c r="P520" s="21" t="s">
        <v>77</v>
      </c>
      <c r="Q520" s="50">
        <f>Q521-SUM(Q505:Q519)</f>
        <v>7.0000000000000284E-2</v>
      </c>
      <c r="R520" s="53">
        <f t="shared" si="35"/>
        <v>2.3728813559322128E-3</v>
      </c>
      <c r="T520" s="56"/>
      <c r="U520" s="21" t="s">
        <v>77</v>
      </c>
      <c r="V520" s="50">
        <v>0</v>
      </c>
      <c r="W520" s="54">
        <f t="shared" si="36"/>
        <v>0</v>
      </c>
      <c r="Z520" s="47"/>
      <c r="AD520" s="227"/>
      <c r="AF520" s="47"/>
    </row>
    <row r="521" spans="2:32" ht="14" customHeight="1" x14ac:dyDescent="0.25">
      <c r="B521" s="21"/>
      <c r="C521" s="21" t="s">
        <v>78</v>
      </c>
      <c r="D521" s="50">
        <v>39.9</v>
      </c>
      <c r="E521" s="16">
        <f t="shared" si="33"/>
        <v>1</v>
      </c>
      <c r="F521" s="52">
        <f>D521/28.24-1</f>
        <v>0.41288951841359767</v>
      </c>
      <c r="G521" s="55">
        <f>D521/D541-1</f>
        <v>0.12711864406779672</v>
      </c>
      <c r="H521" s="50"/>
      <c r="I521" s="21"/>
      <c r="J521" s="21" t="s">
        <v>78</v>
      </c>
      <c r="K521" s="57">
        <v>160.5</v>
      </c>
      <c r="L521" s="56">
        <f t="shared" si="34"/>
        <v>1</v>
      </c>
      <c r="M521" s="16">
        <f>K521/119.23-1</f>
        <v>0.34613771701752905</v>
      </c>
      <c r="N521" s="21"/>
      <c r="P521" s="21" t="s">
        <v>78</v>
      </c>
      <c r="Q521" s="57">
        <v>29.5</v>
      </c>
      <c r="R521" s="53">
        <f t="shared" si="35"/>
        <v>1</v>
      </c>
      <c r="S521" s="228"/>
      <c r="U521" s="21" t="s">
        <v>78</v>
      </c>
      <c r="V521" s="57">
        <v>10.4</v>
      </c>
      <c r="W521" s="54">
        <f t="shared" si="36"/>
        <v>1</v>
      </c>
      <c r="X521" s="228"/>
      <c r="Z521" s="47"/>
      <c r="AD521" s="227"/>
      <c r="AF521" s="47"/>
    </row>
    <row r="522" spans="2:32" ht="14" customHeight="1" x14ac:dyDescent="0.25">
      <c r="J522" s="43"/>
      <c r="O522" s="227"/>
      <c r="X522" s="227"/>
      <c r="Z522" s="47"/>
      <c r="AD522" s="227"/>
      <c r="AF522" s="47"/>
    </row>
    <row r="523" spans="2:32" ht="14" customHeight="1" x14ac:dyDescent="0.25">
      <c r="B523" s="15" t="s">
        <v>472</v>
      </c>
      <c r="C523" s="21"/>
      <c r="D523" s="50"/>
      <c r="E523" s="16"/>
      <c r="F523" s="52"/>
      <c r="G523" s="55"/>
      <c r="I523" s="15" t="s">
        <v>473</v>
      </c>
      <c r="O523" s="25" t="s">
        <v>474</v>
      </c>
      <c r="T523" s="25" t="s">
        <v>475</v>
      </c>
      <c r="Z523" s="47"/>
      <c r="AA523" s="25"/>
      <c r="AB523" s="15"/>
      <c r="AC523" s="15"/>
      <c r="AD523" s="15"/>
      <c r="AE523" s="15"/>
      <c r="AF523" s="15"/>
    </row>
    <row r="524" spans="2:32" ht="14" customHeight="1" x14ac:dyDescent="0.25">
      <c r="B524" s="21" t="s">
        <v>334</v>
      </c>
      <c r="C524" s="21" t="s">
        <v>335</v>
      </c>
      <c r="D524" s="9" t="s">
        <v>436</v>
      </c>
      <c r="E524" s="21" t="s">
        <v>337</v>
      </c>
      <c r="F524" s="21" t="s">
        <v>423</v>
      </c>
      <c r="G524" s="21" t="s">
        <v>424</v>
      </c>
      <c r="I524" s="21" t="s">
        <v>334</v>
      </c>
      <c r="J524" s="21" t="s">
        <v>335</v>
      </c>
      <c r="K524" s="9" t="s">
        <v>437</v>
      </c>
      <c r="L524" s="21" t="s">
        <v>337</v>
      </c>
      <c r="M524" s="21" t="s">
        <v>423</v>
      </c>
      <c r="N524" s="21"/>
      <c r="O524" s="21" t="s">
        <v>334</v>
      </c>
      <c r="P524" s="21" t="s">
        <v>335</v>
      </c>
      <c r="Q524" s="50" t="s">
        <v>438</v>
      </c>
      <c r="R524" s="56" t="s">
        <v>384</v>
      </c>
      <c r="S524" s="21"/>
      <c r="T524" s="21" t="s">
        <v>334</v>
      </c>
      <c r="U524" s="56" t="s">
        <v>381</v>
      </c>
      <c r="V524" s="21" t="s">
        <v>438</v>
      </c>
      <c r="W524" s="57" t="s">
        <v>337</v>
      </c>
      <c r="X524" s="21"/>
      <c r="Z524" s="47"/>
      <c r="AA524" s="21"/>
      <c r="AB524" s="21"/>
      <c r="AC524" s="9"/>
      <c r="AD524" s="21"/>
      <c r="AE524" s="21"/>
      <c r="AF524" s="21"/>
    </row>
    <row r="525" spans="2:32" ht="14" customHeight="1" x14ac:dyDescent="0.25">
      <c r="B525" s="21">
        <v>1</v>
      </c>
      <c r="C525" s="21" t="s">
        <v>68</v>
      </c>
      <c r="D525" s="50">
        <v>15.65</v>
      </c>
      <c r="E525" s="16">
        <v>0.44650000000000001</v>
      </c>
      <c r="F525" s="55">
        <f>D525/10.26-1</f>
        <v>0.52534113060428855</v>
      </c>
      <c r="G525" s="55">
        <f t="shared" ref="G525:G531" si="37">D525/D545-1</f>
        <v>7.0785070785071014E-3</v>
      </c>
      <c r="I525" s="21">
        <v>1</v>
      </c>
      <c r="J525" s="21" t="s">
        <v>68</v>
      </c>
      <c r="K525" s="57">
        <v>56.97</v>
      </c>
      <c r="L525" s="56">
        <v>0.47670000000000001</v>
      </c>
      <c r="M525" s="16">
        <f>K525/39.51-1</f>
        <v>0.44191343963553531</v>
      </c>
      <c r="N525" s="21"/>
      <c r="O525" s="21">
        <v>1</v>
      </c>
      <c r="P525" s="57" t="s">
        <v>69</v>
      </c>
      <c r="Q525" s="59">
        <v>9.9499999999999993</v>
      </c>
      <c r="R525" s="53">
        <v>0.39050000000000001</v>
      </c>
      <c r="T525" s="21">
        <v>1</v>
      </c>
      <c r="U525" s="56" t="s">
        <v>98</v>
      </c>
      <c r="V525" s="21">
        <v>6.62</v>
      </c>
      <c r="W525" s="54">
        <v>0.69240000000000002</v>
      </c>
      <c r="Z525" s="47"/>
      <c r="AA525" s="21"/>
      <c r="AB525" s="21"/>
      <c r="AC525" s="50"/>
      <c r="AD525" s="16"/>
      <c r="AE525" s="55"/>
      <c r="AF525" s="55"/>
    </row>
    <row r="526" spans="2:32" ht="14" customHeight="1" x14ac:dyDescent="0.25">
      <c r="B526" s="21">
        <v>2</v>
      </c>
      <c r="C526" s="21" t="s">
        <v>69</v>
      </c>
      <c r="D526" s="50">
        <v>9.9499999999999993</v>
      </c>
      <c r="E526" s="16">
        <v>0.28370000000000001</v>
      </c>
      <c r="F526" s="55">
        <f>D526/7.32-1</f>
        <v>0.3592896174863387</v>
      </c>
      <c r="G526" s="55">
        <f t="shared" si="37"/>
        <v>7.219827586206895E-2</v>
      </c>
      <c r="I526" s="21">
        <v>2</v>
      </c>
      <c r="J526" s="21" t="s">
        <v>69</v>
      </c>
      <c r="K526" s="57">
        <v>28.39</v>
      </c>
      <c r="L526" s="56">
        <v>0.23749999999999999</v>
      </c>
      <c r="M526" s="16">
        <f>K526/27.73-1</f>
        <v>2.3800937612693751E-2</v>
      </c>
      <c r="N526" s="21"/>
      <c r="O526" s="21">
        <v>2</v>
      </c>
      <c r="P526" s="57" t="s">
        <v>68</v>
      </c>
      <c r="Q526" s="59">
        <v>9.0299999999999994</v>
      </c>
      <c r="R526" s="53">
        <v>0.35460000000000003</v>
      </c>
      <c r="T526" s="21">
        <v>2</v>
      </c>
      <c r="U526" s="56" t="s">
        <v>100</v>
      </c>
      <c r="V526" s="21">
        <v>0.99</v>
      </c>
      <c r="W526" s="54">
        <v>0.10349999999999999</v>
      </c>
      <c r="Z526" s="47"/>
      <c r="AA526" s="21"/>
      <c r="AB526" s="21"/>
      <c r="AC526" s="50"/>
      <c r="AD526" s="16"/>
      <c r="AE526" s="55"/>
      <c r="AF526" s="55"/>
    </row>
    <row r="527" spans="2:32" ht="14" customHeight="1" x14ac:dyDescent="0.25">
      <c r="B527" s="21">
        <v>3</v>
      </c>
      <c r="C527" s="21" t="s">
        <v>71</v>
      </c>
      <c r="D527" s="50">
        <v>2.54</v>
      </c>
      <c r="E527" s="16">
        <v>7.2400000000000006E-2</v>
      </c>
      <c r="F527" s="55">
        <f>D527/2.2-1</f>
        <v>0.15454545454545454</v>
      </c>
      <c r="G527" s="55">
        <f t="shared" si="37"/>
        <v>9.9567099567099637E-2</v>
      </c>
      <c r="H527" s="50"/>
      <c r="I527" s="21">
        <v>3</v>
      </c>
      <c r="J527" s="21" t="s">
        <v>71</v>
      </c>
      <c r="K527" s="57">
        <v>7.73</v>
      </c>
      <c r="L527" s="56">
        <v>6.4699999999999994E-2</v>
      </c>
      <c r="M527" s="16">
        <f>K527/7.47-1</f>
        <v>3.4805890227576963E-2</v>
      </c>
      <c r="N527" s="21"/>
      <c r="O527" s="21">
        <v>3</v>
      </c>
      <c r="P527" s="57" t="s">
        <v>71</v>
      </c>
      <c r="Q527" s="58">
        <v>1.55</v>
      </c>
      <c r="R527" s="53">
        <v>6.08E-2</v>
      </c>
      <c r="T527" s="21">
        <v>3</v>
      </c>
      <c r="U527" s="21" t="s">
        <v>74</v>
      </c>
      <c r="V527" s="21">
        <v>0.64</v>
      </c>
      <c r="W527" s="54">
        <v>6.6900000000000001E-2</v>
      </c>
      <c r="Z527" s="47"/>
      <c r="AA527" s="21"/>
      <c r="AB527" s="21"/>
      <c r="AC527" s="50"/>
      <c r="AD527" s="16"/>
      <c r="AE527" s="55"/>
      <c r="AF527" s="55"/>
    </row>
    <row r="528" spans="2:32" ht="14" customHeight="1" x14ac:dyDescent="0.25">
      <c r="B528" s="21">
        <v>4</v>
      </c>
      <c r="C528" s="21" t="s">
        <v>73</v>
      </c>
      <c r="D528" s="50">
        <v>1.44</v>
      </c>
      <c r="E528" s="16">
        <v>4.1099999999999998E-2</v>
      </c>
      <c r="F528" s="55">
        <f>D528/1.38-1</f>
        <v>4.3478260869565188E-2</v>
      </c>
      <c r="G528" s="55">
        <f t="shared" si="37"/>
        <v>-0.20441988950276246</v>
      </c>
      <c r="H528" s="50"/>
      <c r="I528" s="21">
        <v>4</v>
      </c>
      <c r="J528" s="21" t="s">
        <v>73</v>
      </c>
      <c r="K528" s="57">
        <v>5.23</v>
      </c>
      <c r="L528" s="56">
        <v>4.3799999999999999E-2</v>
      </c>
      <c r="M528" s="16">
        <f>K528/3.8-1</f>
        <v>0.37631578947368438</v>
      </c>
      <c r="N528" s="21"/>
      <c r="O528" s="21">
        <v>4</v>
      </c>
      <c r="P528" s="57" t="s">
        <v>73</v>
      </c>
      <c r="Q528" s="59">
        <v>1.32</v>
      </c>
      <c r="R528" s="53">
        <v>5.1799999999999999E-2</v>
      </c>
      <c r="T528" s="21">
        <v>4</v>
      </c>
      <c r="U528" s="56" t="s">
        <v>172</v>
      </c>
      <c r="V528" s="21">
        <v>0.39</v>
      </c>
      <c r="W528" s="54">
        <v>4.0599999999999997E-2</v>
      </c>
      <c r="Z528" s="47"/>
      <c r="AA528" s="21"/>
      <c r="AB528" s="21"/>
      <c r="AC528" s="50"/>
      <c r="AD528" s="16"/>
      <c r="AE528" s="55"/>
      <c r="AF528" s="55"/>
    </row>
    <row r="529" spans="2:39" ht="14" customHeight="1" x14ac:dyDescent="0.25">
      <c r="B529" s="21">
        <v>5</v>
      </c>
      <c r="C529" s="21" t="s">
        <v>70</v>
      </c>
      <c r="D529" s="50">
        <v>1.31</v>
      </c>
      <c r="E529" s="16">
        <v>3.73E-2</v>
      </c>
      <c r="F529" s="55">
        <f>D529/1.18-1</f>
        <v>0.11016949152542388</v>
      </c>
      <c r="G529" s="55">
        <f t="shared" si="37"/>
        <v>0.25961538461538458</v>
      </c>
      <c r="H529" s="50"/>
      <c r="I529" s="21">
        <v>5</v>
      </c>
      <c r="J529" s="21" t="s">
        <v>70</v>
      </c>
      <c r="K529" s="57">
        <v>4.43</v>
      </c>
      <c r="L529" s="56">
        <v>3.7100000000000001E-2</v>
      </c>
      <c r="M529" s="16">
        <f>K529/3.83-1</f>
        <v>0.15665796344647509</v>
      </c>
      <c r="N529" s="21"/>
      <c r="O529" s="21">
        <v>5</v>
      </c>
      <c r="P529" s="57" t="s">
        <v>70</v>
      </c>
      <c r="Q529" s="59">
        <v>1.23</v>
      </c>
      <c r="R529" s="53">
        <v>4.8399999999999999E-2</v>
      </c>
      <c r="T529" s="21">
        <v>5</v>
      </c>
      <c r="U529" s="56" t="s">
        <v>181</v>
      </c>
      <c r="V529" s="21">
        <v>0.35</v>
      </c>
      <c r="W529" s="54">
        <v>3.6799999999999999E-2</v>
      </c>
      <c r="Z529" s="47"/>
      <c r="AA529" s="21"/>
      <c r="AB529" s="21"/>
      <c r="AC529" s="50"/>
      <c r="AD529" s="16"/>
      <c r="AE529" s="55"/>
      <c r="AF529" s="55"/>
    </row>
    <row r="530" spans="2:39" ht="14" customHeight="1" x14ac:dyDescent="0.25">
      <c r="B530" s="21">
        <v>6</v>
      </c>
      <c r="C530" s="21" t="s">
        <v>74</v>
      </c>
      <c r="D530" s="50">
        <v>1.1000000000000001</v>
      </c>
      <c r="E530" s="16">
        <v>3.1399999999999997E-2</v>
      </c>
      <c r="F530" s="55">
        <f>D530/0.42-1</f>
        <v>1.6190476190476195</v>
      </c>
      <c r="G530" s="55">
        <f t="shared" si="37"/>
        <v>6.7961165048543659E-2</v>
      </c>
      <c r="H530" s="50"/>
      <c r="I530" s="21">
        <v>6</v>
      </c>
      <c r="J530" s="21" t="s">
        <v>74</v>
      </c>
      <c r="K530" s="57">
        <v>4.0199999999999996</v>
      </c>
      <c r="L530" s="56">
        <v>3.3700000000000001E-2</v>
      </c>
      <c r="M530" s="16">
        <f>K530/1.2-1</f>
        <v>2.3499999999999996</v>
      </c>
      <c r="N530" s="21"/>
      <c r="O530" s="21">
        <v>6</v>
      </c>
      <c r="P530" s="57" t="s">
        <v>129</v>
      </c>
      <c r="Q530" s="59">
        <v>0.65</v>
      </c>
      <c r="R530" s="53">
        <v>2.5399999999999999E-2</v>
      </c>
      <c r="T530" s="21">
        <v>6</v>
      </c>
      <c r="U530" s="56" t="s">
        <v>185</v>
      </c>
      <c r="V530" s="21">
        <v>0.26</v>
      </c>
      <c r="W530" s="54">
        <v>2.69E-2</v>
      </c>
      <c r="Z530" s="47"/>
      <c r="AA530" s="21"/>
      <c r="AB530" s="21"/>
      <c r="AC530" s="50"/>
      <c r="AD530" s="16"/>
      <c r="AE530" s="52"/>
      <c r="AF530" s="55"/>
    </row>
    <row r="531" spans="2:39" ht="14" customHeight="1" x14ac:dyDescent="0.25">
      <c r="B531" s="21">
        <v>7</v>
      </c>
      <c r="C531" s="21" t="s">
        <v>129</v>
      </c>
      <c r="D531" s="50">
        <v>1</v>
      </c>
      <c r="E531" s="16">
        <v>2.8500000000000001E-2</v>
      </c>
      <c r="F531" s="55">
        <f>D531/0.91-1</f>
        <v>9.8901098901098772E-2</v>
      </c>
      <c r="G531" s="55">
        <f t="shared" si="37"/>
        <v>1.0101010101010166E-2</v>
      </c>
      <c r="H531" s="50"/>
      <c r="I531" s="21">
        <v>7</v>
      </c>
      <c r="J531" s="21" t="s">
        <v>129</v>
      </c>
      <c r="K531" s="57">
        <v>3.51</v>
      </c>
      <c r="L531" s="56">
        <v>2.9399999999999999E-2</v>
      </c>
      <c r="M531" s="16">
        <f>K531/2.31-1</f>
        <v>0.51948051948051943</v>
      </c>
      <c r="N531" s="21"/>
      <c r="O531" s="21">
        <v>7</v>
      </c>
      <c r="P531" s="57" t="s">
        <v>74</v>
      </c>
      <c r="Q531" s="58">
        <v>0.46</v>
      </c>
      <c r="R531" s="53">
        <v>1.8100000000000002E-2</v>
      </c>
      <c r="T531" s="21">
        <v>7</v>
      </c>
      <c r="U531" s="56" t="s">
        <v>103</v>
      </c>
      <c r="V531" s="49">
        <v>0.12</v>
      </c>
      <c r="W531" s="54">
        <v>1.2699999999999999E-2</v>
      </c>
      <c r="Z531" s="47"/>
      <c r="AA531" s="21"/>
      <c r="AB531" s="21"/>
      <c r="AC531" s="50"/>
      <c r="AD531" s="16"/>
      <c r="AE531" s="52"/>
      <c r="AF531" s="55"/>
    </row>
    <row r="532" spans="2:39" ht="14" customHeight="1" x14ac:dyDescent="0.25">
      <c r="B532" s="21">
        <v>8</v>
      </c>
      <c r="C532" s="21" t="s">
        <v>323</v>
      </c>
      <c r="D532" s="50">
        <v>0.44</v>
      </c>
      <c r="E532" s="16">
        <v>1.2699999999999999E-2</v>
      </c>
      <c r="F532" s="55">
        <f>D532/0.15-1</f>
        <v>1.9333333333333336</v>
      </c>
      <c r="G532" s="55">
        <f>D532/D555-1</f>
        <v>0</v>
      </c>
      <c r="H532" s="50"/>
      <c r="I532" s="21">
        <v>8</v>
      </c>
      <c r="J532" s="15" t="s">
        <v>172</v>
      </c>
      <c r="K532" s="57">
        <v>2.0499999999999998</v>
      </c>
      <c r="L532" s="56">
        <v>1.7100000000000001E-2</v>
      </c>
      <c r="M532" s="16">
        <f>K532/1.73-1</f>
        <v>0.18497109826589586</v>
      </c>
      <c r="N532" s="21"/>
      <c r="O532" s="21">
        <v>8</v>
      </c>
      <c r="P532" s="57" t="s">
        <v>322</v>
      </c>
      <c r="Q532" s="58">
        <v>0.37</v>
      </c>
      <c r="R532" s="53">
        <v>1.47E-2</v>
      </c>
      <c r="T532" s="21">
        <v>8</v>
      </c>
      <c r="U532" s="56" t="s">
        <v>370</v>
      </c>
      <c r="V532" s="21">
        <v>0.09</v>
      </c>
      <c r="W532" s="54">
        <v>9.9000000000000008E-3</v>
      </c>
      <c r="Z532" s="47"/>
      <c r="AD532" s="227"/>
      <c r="AF532" s="47"/>
    </row>
    <row r="533" spans="2:39" ht="14" customHeight="1" x14ac:dyDescent="0.25">
      <c r="B533" s="21">
        <v>9</v>
      </c>
      <c r="C533" s="15" t="s">
        <v>172</v>
      </c>
      <c r="D533" s="50">
        <v>0.39</v>
      </c>
      <c r="E533" s="16">
        <v>1.11E-2</v>
      </c>
      <c r="F533" s="55">
        <f>D533/0.44-1</f>
        <v>-0.11363636363636365</v>
      </c>
      <c r="G533" s="55">
        <f>D533/D554-1</f>
        <v>-0.1333333333333333</v>
      </c>
      <c r="H533" s="50"/>
      <c r="I533" s="21">
        <v>9</v>
      </c>
      <c r="J533" s="21" t="s">
        <v>322</v>
      </c>
      <c r="K533" s="57">
        <v>2.02</v>
      </c>
      <c r="L533" s="56">
        <v>1.6899999999999998E-2</v>
      </c>
      <c r="M533" s="16">
        <f>K533/0.42-1</f>
        <v>3.8095238095238093</v>
      </c>
      <c r="O533" s="21">
        <v>9</v>
      </c>
      <c r="P533" s="57" t="s">
        <v>323</v>
      </c>
      <c r="Q533" s="59">
        <v>0.35</v>
      </c>
      <c r="R533" s="53">
        <v>1.37E-2</v>
      </c>
      <c r="T533" s="21">
        <v>9</v>
      </c>
      <c r="U533" s="56" t="s">
        <v>101</v>
      </c>
      <c r="V533" s="21">
        <v>7.0000000000000007E-2</v>
      </c>
      <c r="W533" s="54">
        <v>7.7000000000000002E-3</v>
      </c>
      <c r="Z533" s="47"/>
      <c r="AD533" s="227"/>
      <c r="AF533" s="47"/>
    </row>
    <row r="534" spans="2:39" ht="14" customHeight="1" x14ac:dyDescent="0.25">
      <c r="B534" s="21">
        <v>10</v>
      </c>
      <c r="C534" s="21" t="s">
        <v>322</v>
      </c>
      <c r="D534" s="50">
        <v>0.37</v>
      </c>
      <c r="E534" s="16">
        <v>1.0699999999999999E-2</v>
      </c>
      <c r="F534" s="55">
        <f>D534/0.16-1</f>
        <v>1.3125</v>
      </c>
      <c r="G534" s="55">
        <f>D534/D552-1</f>
        <v>-0.32727272727272738</v>
      </c>
      <c r="H534" s="50"/>
      <c r="I534" s="21">
        <v>10</v>
      </c>
      <c r="J534" s="21" t="s">
        <v>323</v>
      </c>
      <c r="K534" s="57">
        <v>1.46</v>
      </c>
      <c r="L534" s="56">
        <v>1.2200000000000001E-2</v>
      </c>
      <c r="M534" s="16">
        <f>K534/0.32-1</f>
        <v>3.5625</v>
      </c>
      <c r="N534" s="21"/>
      <c r="O534" s="21">
        <v>10</v>
      </c>
      <c r="P534" s="57" t="s">
        <v>397</v>
      </c>
      <c r="Q534" s="58">
        <v>0.32</v>
      </c>
      <c r="R534" s="53">
        <v>1.2699999999999999E-2</v>
      </c>
      <c r="T534" s="21">
        <v>10</v>
      </c>
      <c r="U534" s="56" t="s">
        <v>58</v>
      </c>
      <c r="V534" s="49">
        <v>0.02</v>
      </c>
      <c r="W534" s="54">
        <v>2E-3</v>
      </c>
      <c r="Z534" s="47"/>
      <c r="AD534" s="227"/>
      <c r="AF534" s="47"/>
    </row>
    <row r="535" spans="2:39" ht="14" customHeight="1" x14ac:dyDescent="0.25">
      <c r="B535" s="21">
        <v>11</v>
      </c>
      <c r="C535" s="21" t="s">
        <v>397</v>
      </c>
      <c r="D535" s="50">
        <v>0.32</v>
      </c>
      <c r="E535" s="16">
        <v>9.2999999999999992E-3</v>
      </c>
      <c r="F535" s="55"/>
      <c r="G535" s="55">
        <f>D535/D556-1</f>
        <v>-0.20000000000000007</v>
      </c>
      <c r="H535" s="50"/>
      <c r="I535" s="21">
        <v>11</v>
      </c>
      <c r="J535" s="21" t="s">
        <v>397</v>
      </c>
      <c r="K535" s="57">
        <v>1.33</v>
      </c>
      <c r="L535" s="56">
        <v>1.12E-2</v>
      </c>
      <c r="M535" s="16"/>
      <c r="N535" s="21"/>
      <c r="O535" s="21">
        <v>11</v>
      </c>
      <c r="P535" s="57" t="s">
        <v>326</v>
      </c>
      <c r="Q535" s="58">
        <v>7.0000000000000007E-2</v>
      </c>
      <c r="R535" s="53">
        <v>2.7000000000000001E-3</v>
      </c>
      <c r="T535" s="21">
        <v>11</v>
      </c>
      <c r="U535" s="56" t="s">
        <v>458</v>
      </c>
      <c r="V535" s="49">
        <v>0</v>
      </c>
      <c r="W535" s="54">
        <v>5.0000000000000001E-4</v>
      </c>
      <c r="Z535" s="47"/>
      <c r="AD535" s="227"/>
      <c r="AF535" s="47"/>
    </row>
    <row r="536" spans="2:39" ht="14" customHeight="1" x14ac:dyDescent="0.25">
      <c r="B536" s="21">
        <v>12</v>
      </c>
      <c r="C536" s="21" t="s">
        <v>357</v>
      </c>
      <c r="D536" s="50">
        <v>0.27</v>
      </c>
      <c r="E536" s="16">
        <v>7.6E-3</v>
      </c>
      <c r="F536" s="55">
        <f>D536/0.29-1</f>
        <v>-6.8965517241379226E-2</v>
      </c>
      <c r="G536" s="55">
        <f>D536/D553-1</f>
        <v>-0.5</v>
      </c>
      <c r="H536" s="50"/>
      <c r="I536" s="21">
        <v>12</v>
      </c>
      <c r="J536" s="21" t="s">
        <v>357</v>
      </c>
      <c r="K536" s="57">
        <v>1.25</v>
      </c>
      <c r="L536" s="56">
        <v>1.0500000000000001E-2</v>
      </c>
      <c r="M536" s="16">
        <f>K536/1.08-1</f>
        <v>0.15740740740740744</v>
      </c>
      <c r="N536" s="21"/>
      <c r="O536" s="21">
        <v>12</v>
      </c>
      <c r="P536" s="57" t="s">
        <v>408</v>
      </c>
      <c r="Q536" s="59">
        <v>0.05</v>
      </c>
      <c r="R536" s="53">
        <v>1.9E-3</v>
      </c>
      <c r="T536" s="21">
        <v>12</v>
      </c>
      <c r="U536" s="56" t="s">
        <v>355</v>
      </c>
      <c r="V536" s="49">
        <v>0</v>
      </c>
      <c r="W536" s="54">
        <v>1E-4</v>
      </c>
      <c r="Z536" s="47"/>
      <c r="AD536" s="227"/>
      <c r="AF536" s="47"/>
    </row>
    <row r="537" spans="2:39" ht="14" customHeight="1" x14ac:dyDescent="0.25">
      <c r="B537" s="21">
        <v>13</v>
      </c>
      <c r="C537" s="21" t="s">
        <v>326</v>
      </c>
      <c r="D537" s="50">
        <v>7.0000000000000007E-2</v>
      </c>
      <c r="E537" s="16">
        <v>2E-3</v>
      </c>
      <c r="F537" s="55">
        <f>D537/0.05-1</f>
        <v>0.40000000000000013</v>
      </c>
      <c r="G537" s="55">
        <f>D537/D557-1</f>
        <v>-0.2222222222222221</v>
      </c>
      <c r="H537" s="50"/>
      <c r="I537" s="21">
        <v>13</v>
      </c>
      <c r="J537" s="21" t="s">
        <v>326</v>
      </c>
      <c r="K537" s="57">
        <v>0.47</v>
      </c>
      <c r="L537" s="56">
        <v>4.0000000000000001E-3</v>
      </c>
      <c r="M537" s="16">
        <f>K537/0.17-1</f>
        <v>1.7647058823529407</v>
      </c>
      <c r="N537" s="21"/>
      <c r="O537" s="21">
        <v>13</v>
      </c>
      <c r="P537" s="57" t="s">
        <v>375</v>
      </c>
      <c r="Q537" s="59">
        <v>0.03</v>
      </c>
      <c r="R537" s="53">
        <v>1.1000000000000001E-3</v>
      </c>
      <c r="T537" s="21">
        <v>13</v>
      </c>
      <c r="U537" s="56" t="s">
        <v>392</v>
      </c>
      <c r="V537" s="49">
        <v>0</v>
      </c>
      <c r="W537" s="54">
        <v>0</v>
      </c>
      <c r="Z537" s="47"/>
      <c r="AD537" s="227"/>
      <c r="AF537" s="47"/>
    </row>
    <row r="538" spans="2:39" ht="14" customHeight="1" x14ac:dyDescent="0.25">
      <c r="B538" s="21">
        <v>14</v>
      </c>
      <c r="C538" s="21" t="s">
        <v>408</v>
      </c>
      <c r="D538" s="50">
        <v>0.05</v>
      </c>
      <c r="E538" s="16">
        <v>1.4E-3</v>
      </c>
      <c r="F538" s="55">
        <f>D538/0.06-1</f>
        <v>-0.16666666666666663</v>
      </c>
      <c r="G538" s="55">
        <f>D538/D558-1</f>
        <v>0</v>
      </c>
      <c r="H538" s="50"/>
      <c r="I538" s="21">
        <v>14</v>
      </c>
      <c r="J538" s="21" t="s">
        <v>408</v>
      </c>
      <c r="K538" s="57">
        <v>0.13</v>
      </c>
      <c r="L538" s="56">
        <v>1.1000000000000001E-3</v>
      </c>
      <c r="M538" s="16"/>
      <c r="N538" s="21"/>
      <c r="O538" s="21">
        <v>14</v>
      </c>
      <c r="P538" s="57" t="s">
        <v>476</v>
      </c>
      <c r="Q538" s="59">
        <v>0.02</v>
      </c>
      <c r="R538" s="53">
        <v>8.0000000000000004E-4</v>
      </c>
      <c r="T538" s="21">
        <v>14</v>
      </c>
      <c r="U538" s="56" t="s">
        <v>329</v>
      </c>
      <c r="V538" s="49">
        <v>0</v>
      </c>
      <c r="W538" s="54">
        <v>0</v>
      </c>
      <c r="Z538" s="47"/>
      <c r="AD538" s="227"/>
      <c r="AF538" s="47"/>
    </row>
    <row r="539" spans="2:39" ht="14" customHeight="1" x14ac:dyDescent="0.25">
      <c r="B539" s="21">
        <v>15</v>
      </c>
      <c r="C539" s="21" t="s">
        <v>342</v>
      </c>
      <c r="D539" s="50">
        <v>0.03</v>
      </c>
      <c r="E539" s="16">
        <v>8.0000000000000004E-4</v>
      </c>
      <c r="F539" s="55"/>
      <c r="G539" s="55">
        <v>5.0000000000000001E-4</v>
      </c>
      <c r="H539" s="50"/>
      <c r="I539" s="21">
        <v>15</v>
      </c>
      <c r="J539" s="21" t="s">
        <v>476</v>
      </c>
      <c r="K539" s="57">
        <v>0.06</v>
      </c>
      <c r="L539" s="56">
        <v>5.0000000000000001E-4</v>
      </c>
      <c r="M539" s="16"/>
      <c r="N539" s="21"/>
      <c r="O539" s="21">
        <v>15</v>
      </c>
      <c r="P539" s="57" t="s">
        <v>471</v>
      </c>
      <c r="Q539" s="58">
        <v>0.02</v>
      </c>
      <c r="R539" s="53">
        <v>5.9999999999999995E-4</v>
      </c>
      <c r="T539" s="21">
        <v>15</v>
      </c>
      <c r="U539" s="56" t="s">
        <v>441</v>
      </c>
      <c r="V539" s="49">
        <v>0</v>
      </c>
      <c r="W539" s="54">
        <v>0</v>
      </c>
      <c r="Z539" s="47"/>
      <c r="AD539" s="227"/>
      <c r="AF539" s="47"/>
    </row>
    <row r="540" spans="2:39" ht="14" customHeight="1" x14ac:dyDescent="0.25">
      <c r="B540" s="21"/>
      <c r="C540" s="21" t="s">
        <v>77</v>
      </c>
      <c r="D540" s="50">
        <f>D541-SUM(D525:D539)</f>
        <v>0.46999999999999886</v>
      </c>
      <c r="E540" s="16">
        <f>E541-SUM(E525:E539)</f>
        <v>3.4999999999999476E-3</v>
      </c>
      <c r="F540" s="52"/>
      <c r="G540" s="55"/>
      <c r="H540" s="50"/>
      <c r="I540" s="21"/>
      <c r="J540" s="21" t="s">
        <v>77</v>
      </c>
      <c r="K540" s="57">
        <f>K541-SUM(K525:K539)</f>
        <v>1.5500000000000114</v>
      </c>
      <c r="L540" s="56">
        <f>K540/K541</f>
        <v>1.2852404643449514E-2</v>
      </c>
      <c r="M540" s="16"/>
      <c r="N540" s="21"/>
      <c r="P540" s="21" t="s">
        <v>77</v>
      </c>
      <c r="Q540" s="50">
        <f>Q541-SUM(Q525:Q539)</f>
        <v>7.9999999999998295E-2</v>
      </c>
      <c r="R540" s="53">
        <f>R541-SUM(R525:R539)</f>
        <v>2.1999999999997577E-3</v>
      </c>
      <c r="T540" s="56"/>
      <c r="U540" s="21" t="s">
        <v>77</v>
      </c>
      <c r="V540" s="50"/>
      <c r="W540" s="54"/>
      <c r="Z540" s="47"/>
      <c r="AD540" s="227"/>
      <c r="AF540" s="47"/>
    </row>
    <row r="541" spans="2:39" ht="14" customHeight="1" x14ac:dyDescent="0.25">
      <c r="B541" s="21"/>
      <c r="C541" s="21" t="s">
        <v>78</v>
      </c>
      <c r="D541" s="50">
        <v>35.4</v>
      </c>
      <c r="E541" s="16">
        <v>1</v>
      </c>
      <c r="F541" s="52">
        <f>D541/25.1-1</f>
        <v>0.41035856573705165</v>
      </c>
      <c r="G541" s="55">
        <f>D541/D561-1</f>
        <v>1.1428571428571344E-2</v>
      </c>
      <c r="H541" s="50"/>
      <c r="I541" s="21"/>
      <c r="J541" s="21" t="s">
        <v>78</v>
      </c>
      <c r="K541" s="57">
        <v>120.6</v>
      </c>
      <c r="L541" s="56">
        <v>1</v>
      </c>
      <c r="M541" s="16">
        <f>K541/91-1</f>
        <v>0.32527472527472523</v>
      </c>
      <c r="N541" s="21"/>
      <c r="P541" s="21" t="s">
        <v>78</v>
      </c>
      <c r="Q541" s="57">
        <v>25.5</v>
      </c>
      <c r="R541" s="53">
        <v>1</v>
      </c>
      <c r="S541" s="228"/>
      <c r="U541" s="21" t="s">
        <v>78</v>
      </c>
      <c r="V541" s="57">
        <v>9.9</v>
      </c>
      <c r="W541" s="65"/>
      <c r="X541" s="228"/>
      <c r="Z541" s="47"/>
      <c r="AD541" s="227"/>
      <c r="AF541" s="47"/>
    </row>
    <row r="542" spans="2:39" ht="14" customHeight="1" x14ac:dyDescent="0.25">
      <c r="D542" s="43"/>
      <c r="J542" s="43"/>
      <c r="O542" s="227"/>
      <c r="X542" s="227"/>
      <c r="AD542" s="227"/>
    </row>
    <row r="543" spans="2:39" ht="14" customHeight="1" x14ac:dyDescent="0.25">
      <c r="B543" s="15" t="s">
        <v>477</v>
      </c>
      <c r="C543" s="21"/>
      <c r="D543" s="50"/>
      <c r="E543" s="16"/>
      <c r="F543" s="52"/>
      <c r="G543" s="55"/>
      <c r="I543" s="15" t="s">
        <v>478</v>
      </c>
      <c r="O543" s="25" t="s">
        <v>479</v>
      </c>
      <c r="T543" s="25" t="s">
        <v>480</v>
      </c>
      <c r="AA543" s="25"/>
      <c r="AB543" s="15"/>
      <c r="AC543" s="15"/>
      <c r="AD543" s="15"/>
      <c r="AE543" s="15"/>
      <c r="AF543" s="15"/>
      <c r="AI543" s="25"/>
      <c r="AJ543" s="15"/>
      <c r="AK543" s="15"/>
      <c r="AL543" s="15"/>
      <c r="AM543" s="15"/>
    </row>
    <row r="544" spans="2:39" ht="14" customHeight="1" x14ac:dyDescent="0.25">
      <c r="B544" s="21" t="s">
        <v>334</v>
      </c>
      <c r="C544" s="21" t="s">
        <v>335</v>
      </c>
      <c r="D544" s="9" t="s">
        <v>436</v>
      </c>
      <c r="E544" s="21" t="s">
        <v>337</v>
      </c>
      <c r="F544" s="21" t="s">
        <v>423</v>
      </c>
      <c r="G544" s="21" t="s">
        <v>424</v>
      </c>
      <c r="I544" s="21" t="s">
        <v>334</v>
      </c>
      <c r="J544" s="21" t="s">
        <v>335</v>
      </c>
      <c r="K544" s="9" t="s">
        <v>437</v>
      </c>
      <c r="L544" s="21" t="s">
        <v>337</v>
      </c>
      <c r="M544" s="21" t="s">
        <v>423</v>
      </c>
      <c r="N544" s="21"/>
      <c r="O544" s="21" t="s">
        <v>334</v>
      </c>
      <c r="P544" s="21" t="s">
        <v>335</v>
      </c>
      <c r="Q544" s="50" t="s">
        <v>438</v>
      </c>
      <c r="R544" s="56" t="s">
        <v>384</v>
      </c>
      <c r="S544" s="21"/>
      <c r="T544" s="21" t="s">
        <v>334</v>
      </c>
      <c r="U544" s="56" t="s">
        <v>381</v>
      </c>
      <c r="V544" s="21" t="s">
        <v>438</v>
      </c>
      <c r="W544" s="57" t="s">
        <v>337</v>
      </c>
      <c r="X544" s="21"/>
      <c r="AA544" s="21"/>
      <c r="AB544" s="21"/>
      <c r="AC544" s="9"/>
      <c r="AD544" s="21"/>
      <c r="AE544" s="21"/>
      <c r="AF544" s="21"/>
      <c r="AI544" s="21"/>
      <c r="AJ544" s="21"/>
      <c r="AK544" s="9"/>
      <c r="AL544" s="21"/>
    </row>
    <row r="545" spans="2:39" ht="14" customHeight="1" x14ac:dyDescent="0.25">
      <c r="B545" s="21">
        <v>1</v>
      </c>
      <c r="C545" s="21" t="s">
        <v>68</v>
      </c>
      <c r="D545" s="50">
        <v>15.54</v>
      </c>
      <c r="E545" s="16">
        <v>0.55159999999999998</v>
      </c>
      <c r="F545" s="55">
        <f>D545/12.49-1</f>
        <v>0.24419535628502786</v>
      </c>
      <c r="G545" s="55">
        <f>D545/D565-1</f>
        <v>0.58248472505091642</v>
      </c>
      <c r="I545" s="21">
        <v>1</v>
      </c>
      <c r="J545" s="21" t="s">
        <v>68</v>
      </c>
      <c r="K545" s="57">
        <f t="shared" ref="K545:K561" si="38">K565+D545</f>
        <v>41.31</v>
      </c>
      <c r="L545" s="56">
        <f>K545/K$561</f>
        <v>0.48429073856975385</v>
      </c>
      <c r="M545" s="16">
        <f>K545/29.25-1</f>
        <v>0.41230769230769249</v>
      </c>
      <c r="N545" s="16"/>
      <c r="O545" s="21">
        <v>1</v>
      </c>
      <c r="P545" s="57" t="s">
        <v>69</v>
      </c>
      <c r="Q545" s="59">
        <v>9.2799999999999994</v>
      </c>
      <c r="R545" s="53">
        <f>39.27%</f>
        <v>0.39270000000000005</v>
      </c>
      <c r="T545" s="21">
        <v>1</v>
      </c>
      <c r="U545" s="56" t="s">
        <v>98</v>
      </c>
      <c r="V545" s="21">
        <v>7.41</v>
      </c>
      <c r="W545" s="54">
        <v>0.67310000000000003</v>
      </c>
      <c r="AA545" s="21"/>
      <c r="AB545" s="21"/>
      <c r="AC545" s="50"/>
      <c r="AD545" s="16"/>
      <c r="AE545" s="55"/>
      <c r="AF545" s="55"/>
      <c r="AI545" s="21"/>
      <c r="AJ545" s="21"/>
      <c r="AK545" s="50"/>
      <c r="AL545" s="16"/>
    </row>
    <row r="546" spans="2:39" ht="14" customHeight="1" x14ac:dyDescent="0.25">
      <c r="B546" s="21">
        <v>2</v>
      </c>
      <c r="C546" s="21" t="s">
        <v>69</v>
      </c>
      <c r="D546" s="50">
        <v>9.2799999999999994</v>
      </c>
      <c r="E546" s="16">
        <v>0.17749999999999999</v>
      </c>
      <c r="F546" s="55">
        <f>D546/7.4-1</f>
        <v>0.2540540540540539</v>
      </c>
      <c r="G546" s="55">
        <f>D546/D566-1</f>
        <v>1.9367088607594933</v>
      </c>
      <c r="I546" s="21">
        <v>2</v>
      </c>
      <c r="J546" s="21" t="s">
        <v>69</v>
      </c>
      <c r="K546" s="57">
        <f t="shared" si="38"/>
        <v>18.439999999999998</v>
      </c>
      <c r="L546" s="56">
        <f t="shared" ref="L546:L561" si="39">K546/K$561</f>
        <v>0.21617819460726845</v>
      </c>
      <c r="M546" s="16">
        <f>K546/20.41-1</f>
        <v>-9.6521313081822768E-2</v>
      </c>
      <c r="N546" s="16"/>
      <c r="O546" s="21">
        <v>2</v>
      </c>
      <c r="P546" s="57" t="s">
        <v>68</v>
      </c>
      <c r="Q546" s="59">
        <v>8.14</v>
      </c>
      <c r="R546" s="53">
        <v>0.34439999999999998</v>
      </c>
      <c r="T546" s="21">
        <v>2</v>
      </c>
      <c r="U546" s="56" t="s">
        <v>100</v>
      </c>
      <c r="V546" s="21">
        <v>0.84</v>
      </c>
      <c r="W546" s="54">
        <v>7.6600000000000001E-2</v>
      </c>
      <c r="AA546" s="21"/>
      <c r="AB546" s="21"/>
      <c r="AC546" s="50"/>
      <c r="AD546" s="16"/>
      <c r="AE546" s="55"/>
      <c r="AF546" s="55"/>
      <c r="AI546" s="21"/>
      <c r="AJ546" s="21"/>
      <c r="AK546" s="50"/>
      <c r="AL546" s="16"/>
    </row>
    <row r="547" spans="2:39" ht="14" customHeight="1" x14ac:dyDescent="0.25">
      <c r="B547" s="21">
        <v>3</v>
      </c>
      <c r="C547" s="21" t="s">
        <v>71</v>
      </c>
      <c r="D547" s="50">
        <v>2.31</v>
      </c>
      <c r="E547" s="16">
        <v>6.3799999999999996E-2</v>
      </c>
      <c r="F547" s="55">
        <f>D547/2.86-1</f>
        <v>-0.19230769230769229</v>
      </c>
      <c r="G547" s="55">
        <f>D547/D567-1</f>
        <v>1.0263157894736845</v>
      </c>
      <c r="I547" s="21">
        <v>3</v>
      </c>
      <c r="J547" s="21" t="s">
        <v>71</v>
      </c>
      <c r="K547" s="57">
        <f t="shared" si="38"/>
        <v>5.1899999999999995</v>
      </c>
      <c r="L547" s="56">
        <f t="shared" si="39"/>
        <v>6.0844079718640087E-2</v>
      </c>
      <c r="M547" s="16">
        <f>K547/5.27-1</f>
        <v>-1.5180265654648917E-2</v>
      </c>
      <c r="N547" s="16"/>
      <c r="O547" s="21">
        <v>3</v>
      </c>
      <c r="P547" s="57" t="s">
        <v>73</v>
      </c>
      <c r="Q547" s="58">
        <v>1.67</v>
      </c>
      <c r="R547" s="53">
        <v>7.0699999999999999E-2</v>
      </c>
      <c r="T547" s="21">
        <v>3</v>
      </c>
      <c r="U547" s="21" t="s">
        <v>74</v>
      </c>
      <c r="V547" s="21">
        <v>0.84</v>
      </c>
      <c r="W547" s="54">
        <v>7.5999999999999998E-2</v>
      </c>
      <c r="AA547" s="21"/>
      <c r="AB547" s="21"/>
      <c r="AC547" s="50"/>
      <c r="AD547" s="16"/>
      <c r="AE547" s="55"/>
      <c r="AF547" s="55"/>
      <c r="AI547" s="21"/>
      <c r="AJ547" s="21"/>
      <c r="AK547" s="50"/>
      <c r="AL547" s="16"/>
    </row>
    <row r="548" spans="2:39" ht="14" customHeight="1" x14ac:dyDescent="0.25">
      <c r="B548" s="21">
        <v>4</v>
      </c>
      <c r="C548" s="21" t="s">
        <v>73</v>
      </c>
      <c r="D548" s="50">
        <v>1.81</v>
      </c>
      <c r="E548" s="16">
        <v>3.5200000000000002E-2</v>
      </c>
      <c r="F548" s="55">
        <f>D548/1.07-1</f>
        <v>0.69158878504672883</v>
      </c>
      <c r="G548" s="55">
        <f>D548/D568-1</f>
        <v>1.873015873015873</v>
      </c>
      <c r="I548" s="21">
        <v>4</v>
      </c>
      <c r="J548" s="21" t="s">
        <v>73</v>
      </c>
      <c r="K548" s="57">
        <f t="shared" si="38"/>
        <v>3.9</v>
      </c>
      <c r="L548" s="56">
        <f t="shared" si="39"/>
        <v>4.5720984759671748E-2</v>
      </c>
      <c r="M548" s="16">
        <f>K548/2.42-1</f>
        <v>0.61157024793388426</v>
      </c>
      <c r="N548" s="16"/>
      <c r="O548" s="21">
        <v>4</v>
      </c>
      <c r="P548" s="57" t="s">
        <v>71</v>
      </c>
      <c r="Q548" s="59">
        <v>1.47</v>
      </c>
      <c r="R548" s="53">
        <v>6.2E-2</v>
      </c>
      <c r="T548" s="21">
        <v>4</v>
      </c>
      <c r="U548" s="56" t="s">
        <v>185</v>
      </c>
      <c r="V548" s="21">
        <v>0.53</v>
      </c>
      <c r="W548" s="54">
        <v>4.7800000000000002E-2</v>
      </c>
      <c r="AA548" s="21"/>
      <c r="AB548" s="21"/>
      <c r="AC548" s="50"/>
      <c r="AD548" s="16"/>
      <c r="AE548" s="55"/>
      <c r="AF548" s="55"/>
      <c r="AI548" s="21"/>
      <c r="AJ548" s="21"/>
      <c r="AK548" s="50"/>
      <c r="AL548" s="16"/>
    </row>
    <row r="549" spans="2:39" ht="14" customHeight="1" x14ac:dyDescent="0.25">
      <c r="B549" s="21">
        <v>5</v>
      </c>
      <c r="C549" s="21" t="s">
        <v>70</v>
      </c>
      <c r="D549" s="50">
        <v>1.04</v>
      </c>
      <c r="E549" s="16">
        <v>3.2500000000000001E-2</v>
      </c>
      <c r="F549" s="55">
        <f>D549/1.25-1</f>
        <v>-0.16799999999999993</v>
      </c>
      <c r="G549" s="55">
        <f>D549/D569-1</f>
        <v>0.79310344827586232</v>
      </c>
      <c r="I549" s="21">
        <v>5</v>
      </c>
      <c r="J549" s="21" t="s">
        <v>70</v>
      </c>
      <c r="K549" s="57">
        <f t="shared" si="38"/>
        <v>3.02</v>
      </c>
      <c r="L549" s="56">
        <f t="shared" si="39"/>
        <v>3.5404454865181713E-2</v>
      </c>
      <c r="M549" s="16">
        <f>K549/2.65-1</f>
        <v>0.13962264150943393</v>
      </c>
      <c r="N549" s="16"/>
      <c r="O549" s="21">
        <v>5</v>
      </c>
      <c r="P549" s="57" t="s">
        <v>70</v>
      </c>
      <c r="Q549" s="59">
        <v>0.92</v>
      </c>
      <c r="R549" s="53">
        <v>3.8800000000000001E-2</v>
      </c>
      <c r="T549" s="21">
        <v>5</v>
      </c>
      <c r="U549" s="56" t="s">
        <v>181</v>
      </c>
      <c r="V549" s="21">
        <v>0.48</v>
      </c>
      <c r="W549" s="54">
        <v>4.3900000000000002E-2</v>
      </c>
      <c r="AA549" s="21"/>
      <c r="AB549" s="21"/>
      <c r="AC549" s="50"/>
      <c r="AD549" s="16"/>
      <c r="AE549" s="55"/>
      <c r="AF549" s="55"/>
      <c r="AI549" s="21"/>
      <c r="AJ549" s="21"/>
      <c r="AK549" s="50"/>
      <c r="AL549" s="16"/>
    </row>
    <row r="550" spans="2:39" ht="14" customHeight="1" x14ac:dyDescent="0.25">
      <c r="B550" s="21">
        <v>6</v>
      </c>
      <c r="C550" s="21" t="s">
        <v>74</v>
      </c>
      <c r="D550" s="50">
        <v>1.03</v>
      </c>
      <c r="E550" s="16">
        <v>2.9499999999999998E-2</v>
      </c>
      <c r="F550" s="55">
        <f>D550/0.43-1</f>
        <v>1.3953488372093026</v>
      </c>
      <c r="G550" s="55">
        <f>D550/D572-1</f>
        <v>1.4523809523809526</v>
      </c>
      <c r="I550" s="21">
        <v>6</v>
      </c>
      <c r="J550" s="21" t="s">
        <v>74</v>
      </c>
      <c r="K550" s="57">
        <f t="shared" si="38"/>
        <v>2.92</v>
      </c>
      <c r="L550" s="56">
        <f t="shared" si="39"/>
        <v>3.4232121922626028E-2</v>
      </c>
      <c r="M550" s="16">
        <f>K550/0.78-1</f>
        <v>2.7435897435897432</v>
      </c>
      <c r="N550" s="16"/>
      <c r="O550" s="21">
        <v>6</v>
      </c>
      <c r="P550" s="57" t="s">
        <v>322</v>
      </c>
      <c r="Q550" s="59">
        <v>0.55000000000000004</v>
      </c>
      <c r="R550" s="53">
        <v>2.3400000000000001E-2</v>
      </c>
      <c r="T550" s="21">
        <v>6</v>
      </c>
      <c r="U550" s="56" t="s">
        <v>172</v>
      </c>
      <c r="V550" s="21">
        <v>0.45</v>
      </c>
      <c r="W550" s="54">
        <v>4.0500000000000001E-2</v>
      </c>
      <c r="AA550" s="21"/>
      <c r="AB550" s="21"/>
      <c r="AC550" s="50"/>
      <c r="AD550" s="16"/>
      <c r="AE550" s="52"/>
      <c r="AF550" s="55"/>
      <c r="AI550" s="21"/>
      <c r="AJ550" s="21"/>
      <c r="AK550" s="50"/>
      <c r="AL550" s="16"/>
      <c r="AM550" s="52"/>
    </row>
    <row r="551" spans="2:39" ht="14" customHeight="1" x14ac:dyDescent="0.25">
      <c r="B551" s="21">
        <v>7</v>
      </c>
      <c r="C551" s="21" t="s">
        <v>129</v>
      </c>
      <c r="D551" s="50">
        <v>0.99</v>
      </c>
      <c r="E551" s="16">
        <v>2.58E-2</v>
      </c>
      <c r="F551" s="55">
        <f>D551/0.57-1</f>
        <v>0.73684210526315796</v>
      </c>
      <c r="G551" s="55">
        <f>D551/D569-1</f>
        <v>0.70689655172413812</v>
      </c>
      <c r="I551" s="21">
        <v>7</v>
      </c>
      <c r="J551" s="21" t="s">
        <v>129</v>
      </c>
      <c r="K551" s="57">
        <f t="shared" si="38"/>
        <v>2.5099999999999998</v>
      </c>
      <c r="L551" s="56">
        <f t="shared" si="39"/>
        <v>2.9425556858147711E-2</v>
      </c>
      <c r="M551" s="16">
        <f>K551/1.4-1</f>
        <v>0.79285714285714293</v>
      </c>
      <c r="N551" s="16"/>
      <c r="O551" s="21">
        <v>7</v>
      </c>
      <c r="P551" s="57" t="s">
        <v>129</v>
      </c>
      <c r="Q551" s="58">
        <v>0.51</v>
      </c>
      <c r="R551" s="53">
        <v>2.1600000000000001E-2</v>
      </c>
      <c r="T551" s="21">
        <v>7</v>
      </c>
      <c r="U551" s="56" t="s">
        <v>370</v>
      </c>
      <c r="V551" s="49">
        <v>0.17</v>
      </c>
      <c r="W551" s="54">
        <v>1.5599999999999999E-2</v>
      </c>
      <c r="AA551" s="21"/>
      <c r="AB551" s="21"/>
      <c r="AC551" s="50"/>
      <c r="AD551" s="16"/>
      <c r="AE551" s="52"/>
      <c r="AF551" s="55"/>
      <c r="AI551" s="21"/>
      <c r="AJ551" s="21"/>
      <c r="AK551" s="50"/>
      <c r="AL551" s="16"/>
      <c r="AM551" s="52"/>
    </row>
    <row r="552" spans="2:39" ht="14" customHeight="1" x14ac:dyDescent="0.25">
      <c r="B552" s="21">
        <v>8</v>
      </c>
      <c r="C552" s="21" t="s">
        <v>322</v>
      </c>
      <c r="D552" s="50">
        <v>0.55000000000000004</v>
      </c>
      <c r="E552" s="16">
        <v>2.35E-2</v>
      </c>
      <c r="F552" s="55">
        <f>D552/0.15-1</f>
        <v>2.666666666666667</v>
      </c>
      <c r="G552" s="55">
        <f>D552/D571-1</f>
        <v>0.19565217391304346</v>
      </c>
      <c r="I552" s="21">
        <v>8</v>
      </c>
      <c r="J552" s="21" t="s">
        <v>322</v>
      </c>
      <c r="K552" s="57">
        <f t="shared" si="38"/>
        <v>1.77</v>
      </c>
      <c r="L552" s="56">
        <f t="shared" si="39"/>
        <v>2.075029308323564E-2</v>
      </c>
      <c r="M552" s="16">
        <f>K552/0.25-1</f>
        <v>6.08</v>
      </c>
      <c r="N552" s="16"/>
      <c r="O552" s="21">
        <v>8</v>
      </c>
      <c r="P552" s="57" t="s">
        <v>397</v>
      </c>
      <c r="Q552" s="58">
        <v>0.4</v>
      </c>
      <c r="R552" s="53">
        <v>1.67E-2</v>
      </c>
      <c r="T552" s="21">
        <v>8</v>
      </c>
      <c r="U552" s="56" t="s">
        <v>103</v>
      </c>
      <c r="V552" s="21">
        <v>0.14000000000000001</v>
      </c>
      <c r="W552" s="54">
        <v>1.32E-2</v>
      </c>
      <c r="AA552" s="21"/>
      <c r="AB552" s="21"/>
      <c r="AC552" s="21"/>
      <c r="AD552" s="21"/>
      <c r="AE552" s="53"/>
      <c r="AF552" s="53"/>
      <c r="AG552" s="53"/>
      <c r="AH552" s="15"/>
    </row>
    <row r="553" spans="2:39" ht="14" customHeight="1" x14ac:dyDescent="0.25">
      <c r="B553" s="21">
        <v>9</v>
      </c>
      <c r="C553" s="21" t="s">
        <v>357</v>
      </c>
      <c r="D553" s="50">
        <v>0.54</v>
      </c>
      <c r="E553" s="16">
        <v>0.02</v>
      </c>
      <c r="F553" s="55">
        <f>D553/0.44-1</f>
        <v>0.22727272727272729</v>
      </c>
      <c r="G553" s="55">
        <f>D553/D571-1</f>
        <v>0.17391304347826098</v>
      </c>
      <c r="I553" s="21">
        <v>9</v>
      </c>
      <c r="J553" s="21" t="s">
        <v>357</v>
      </c>
      <c r="K553" s="57">
        <f t="shared" si="38"/>
        <v>1.6300000000000001</v>
      </c>
      <c r="L553" s="56">
        <f t="shared" si="39"/>
        <v>1.9109026963657679E-2</v>
      </c>
      <c r="M553" s="16">
        <f>K553/0.79-1</f>
        <v>1.0632911392405062</v>
      </c>
      <c r="N553" s="16"/>
      <c r="O553" s="21">
        <v>9</v>
      </c>
      <c r="P553" s="57" t="s">
        <v>323</v>
      </c>
      <c r="Q553" s="59">
        <v>0.27</v>
      </c>
      <c r="R553" s="53">
        <v>1.12E-2</v>
      </c>
      <c r="T553" s="21">
        <v>9</v>
      </c>
      <c r="U553" s="56" t="s">
        <v>101</v>
      </c>
      <c r="V553" s="21">
        <v>0.12</v>
      </c>
      <c r="W553" s="54">
        <v>1.0800000000000001E-2</v>
      </c>
      <c r="AA553" s="21"/>
      <c r="AB553" s="21"/>
      <c r="AC553" s="21"/>
      <c r="AD553" s="21"/>
      <c r="AE553" s="53"/>
      <c r="AF553" s="53"/>
      <c r="AG553" s="53"/>
      <c r="AH553" s="15"/>
    </row>
    <row r="554" spans="2:39" ht="14" customHeight="1" x14ac:dyDescent="0.25">
      <c r="B554" s="21">
        <v>10</v>
      </c>
      <c r="C554" s="15" t="s">
        <v>172</v>
      </c>
      <c r="D554" s="50">
        <v>0.45</v>
      </c>
      <c r="E554" s="16">
        <v>1.7000000000000001E-2</v>
      </c>
      <c r="F554" s="55">
        <f>D554/0.6-1</f>
        <v>-0.25</v>
      </c>
      <c r="G554" s="55">
        <f>D554/D573-1</f>
        <v>0.25</v>
      </c>
      <c r="I554" s="21">
        <v>10</v>
      </c>
      <c r="J554" s="15" t="s">
        <v>172</v>
      </c>
      <c r="K554" s="57">
        <f t="shared" si="38"/>
        <v>1.06</v>
      </c>
      <c r="L554" s="56">
        <f t="shared" si="39"/>
        <v>1.2426729191090271E-2</v>
      </c>
      <c r="O554" s="21">
        <v>10</v>
      </c>
      <c r="P554" s="57" t="s">
        <v>74</v>
      </c>
      <c r="Q554" s="58">
        <v>0.19</v>
      </c>
      <c r="R554" s="53">
        <v>8.2000000000000007E-3</v>
      </c>
      <c r="T554" s="21">
        <v>10</v>
      </c>
      <c r="U554" s="56" t="s">
        <v>58</v>
      </c>
      <c r="V554" s="49">
        <v>0.01</v>
      </c>
      <c r="W554" s="54">
        <v>1.2999999999999999E-3</v>
      </c>
      <c r="AA554" s="21"/>
      <c r="AB554" s="21"/>
      <c r="AC554" s="21"/>
      <c r="AD554" s="21"/>
      <c r="AE554" s="53"/>
      <c r="AF554" s="53"/>
      <c r="AG554" s="53"/>
      <c r="AH554" s="15"/>
    </row>
    <row r="555" spans="2:39" ht="14" customHeight="1" x14ac:dyDescent="0.25">
      <c r="B555" s="21">
        <v>11</v>
      </c>
      <c r="C555" s="21" t="s">
        <v>323</v>
      </c>
      <c r="D555" s="50">
        <v>0.44</v>
      </c>
      <c r="E555" s="16">
        <v>1.01E-2</v>
      </c>
      <c r="F555" s="55"/>
      <c r="G555" s="55">
        <f>D555/D575-1</f>
        <v>1.4444444444444446</v>
      </c>
      <c r="I555" s="21">
        <v>11</v>
      </c>
      <c r="J555" s="21" t="s">
        <v>323</v>
      </c>
      <c r="K555" s="57">
        <f t="shared" si="38"/>
        <v>1.02</v>
      </c>
      <c r="L555" s="56">
        <f t="shared" si="39"/>
        <v>1.1957796014067996E-2</v>
      </c>
      <c r="M555" s="16">
        <f>K555/0.16-1</f>
        <v>5.375</v>
      </c>
      <c r="N555" s="16"/>
      <c r="O555" s="21">
        <v>11</v>
      </c>
      <c r="P555" s="57" t="s">
        <v>326</v>
      </c>
      <c r="Q555" s="58">
        <v>0.09</v>
      </c>
      <c r="R555" s="53">
        <v>3.7000000000000002E-3</v>
      </c>
      <c r="T555" s="21">
        <v>11</v>
      </c>
      <c r="U555" s="56" t="s">
        <v>355</v>
      </c>
      <c r="V555" s="49">
        <v>0.01</v>
      </c>
      <c r="W555" s="54">
        <v>5.9999999999999995E-4</v>
      </c>
      <c r="AA555" s="21"/>
      <c r="AB555" s="21"/>
      <c r="AC555" s="21"/>
      <c r="AD555" s="21"/>
      <c r="AE555" s="53"/>
      <c r="AF555" s="53"/>
      <c r="AG555" s="53"/>
      <c r="AH555" s="15"/>
    </row>
    <row r="556" spans="2:39" ht="14" customHeight="1" x14ac:dyDescent="0.25">
      <c r="B556" s="21">
        <v>12</v>
      </c>
      <c r="C556" s="21" t="s">
        <v>397</v>
      </c>
      <c r="D556" s="50">
        <v>0.4</v>
      </c>
      <c r="E556" s="16">
        <v>5.7000000000000002E-3</v>
      </c>
      <c r="F556" s="55"/>
      <c r="G556" s="55">
        <f>D556/D574-1</f>
        <v>0.33333333333333348</v>
      </c>
      <c r="I556" s="21">
        <v>12</v>
      </c>
      <c r="J556" s="21" t="s">
        <v>397</v>
      </c>
      <c r="K556" s="57">
        <f t="shared" si="38"/>
        <v>0.84000000000000008</v>
      </c>
      <c r="L556" s="56">
        <f t="shared" si="39"/>
        <v>9.8475967174677624E-3</v>
      </c>
      <c r="M556" s="16"/>
      <c r="N556" s="16"/>
      <c r="O556" s="21">
        <v>12</v>
      </c>
      <c r="P556" s="57" t="s">
        <v>408</v>
      </c>
      <c r="Q556" s="59">
        <v>0.05</v>
      </c>
      <c r="R556" s="53">
        <v>2.3E-3</v>
      </c>
      <c r="T556" s="21">
        <v>12</v>
      </c>
      <c r="U556" s="56" t="s">
        <v>329</v>
      </c>
      <c r="V556" s="49">
        <v>0</v>
      </c>
      <c r="W556" s="54">
        <v>4.0000000000000002E-4</v>
      </c>
      <c r="AA556" s="21"/>
      <c r="AB556" s="21"/>
      <c r="AC556" s="21"/>
      <c r="AD556" s="21"/>
      <c r="AE556" s="53"/>
      <c r="AF556" s="53"/>
      <c r="AG556" s="53"/>
      <c r="AH556" s="15"/>
    </row>
    <row r="557" spans="2:39" ht="14" customHeight="1" x14ac:dyDescent="0.25">
      <c r="B557" s="21">
        <v>13</v>
      </c>
      <c r="C557" s="21" t="s">
        <v>326</v>
      </c>
      <c r="D557" s="50">
        <v>0.09</v>
      </c>
      <c r="E557" s="16">
        <v>4.5999999999999999E-3</v>
      </c>
      <c r="F557" s="55">
        <f>D557/0.03-1</f>
        <v>2</v>
      </c>
      <c r="G557" s="55">
        <f>D557/D576-1</f>
        <v>-0.10000000000000009</v>
      </c>
      <c r="I557" s="21">
        <v>13</v>
      </c>
      <c r="J557" s="21" t="s">
        <v>326</v>
      </c>
      <c r="K557" s="57">
        <f t="shared" si="38"/>
        <v>0.4</v>
      </c>
      <c r="L557" s="56">
        <f t="shared" si="39"/>
        <v>4.6893317702227438E-3</v>
      </c>
      <c r="M557" s="16">
        <f>K557/0.13-1</f>
        <v>2.0769230769230771</v>
      </c>
      <c r="N557" s="16"/>
      <c r="O557" s="21">
        <v>13</v>
      </c>
      <c r="P557" s="57" t="s">
        <v>476</v>
      </c>
      <c r="Q557" s="59">
        <v>0.02</v>
      </c>
      <c r="R557" s="53">
        <v>8.9999999999999998E-4</v>
      </c>
      <c r="T557" s="21">
        <v>13</v>
      </c>
      <c r="U557" s="56" t="s">
        <v>458</v>
      </c>
      <c r="V557" s="49">
        <v>0</v>
      </c>
      <c r="W557" s="54">
        <v>2.0000000000000001E-4</v>
      </c>
      <c r="AA557" s="21"/>
      <c r="AB557" s="21"/>
      <c r="AC557" s="21"/>
      <c r="AD557" s="21"/>
      <c r="AE557" s="53"/>
      <c r="AF557" s="53"/>
      <c r="AG557" s="53"/>
      <c r="AH557" s="15"/>
    </row>
    <row r="558" spans="2:39" ht="14" customHeight="1" x14ac:dyDescent="0.25">
      <c r="B558" s="21">
        <v>14</v>
      </c>
      <c r="C558" s="21" t="s">
        <v>408</v>
      </c>
      <c r="D558" s="50">
        <v>0.05</v>
      </c>
      <c r="E558" s="16">
        <v>5.9999999999999995E-4</v>
      </c>
      <c r="F558" s="55"/>
      <c r="G558" s="55">
        <f>D558/D579-1</f>
        <v>4</v>
      </c>
      <c r="I558" s="21">
        <v>14</v>
      </c>
      <c r="J558" s="21" t="s">
        <v>408</v>
      </c>
      <c r="K558" s="57">
        <f t="shared" si="38"/>
        <v>0.09</v>
      </c>
      <c r="L558" s="56">
        <f t="shared" si="39"/>
        <v>1.0550996483001172E-3</v>
      </c>
      <c r="M558" s="16"/>
      <c r="N558" s="16"/>
      <c r="O558" s="21">
        <v>14</v>
      </c>
      <c r="P558" s="57" t="s">
        <v>357</v>
      </c>
      <c r="Q558" s="59">
        <v>0.02</v>
      </c>
      <c r="R558" s="53">
        <v>6.9999999999999999E-4</v>
      </c>
      <c r="T558" s="21">
        <v>14</v>
      </c>
      <c r="U558" s="56" t="s">
        <v>392</v>
      </c>
      <c r="V558" s="49">
        <v>0</v>
      </c>
      <c r="W558" s="54">
        <v>1E-4</v>
      </c>
      <c r="AA558" s="21"/>
      <c r="AB558" s="21"/>
      <c r="AC558" s="21"/>
      <c r="AD558" s="21"/>
      <c r="AE558" s="53"/>
      <c r="AF558" s="53"/>
      <c r="AG558" s="53"/>
      <c r="AH558" s="15"/>
    </row>
    <row r="559" spans="2:39" ht="14" customHeight="1" x14ac:dyDescent="0.25">
      <c r="B559" s="21">
        <v>15</v>
      </c>
      <c r="C559" s="21" t="s">
        <v>476</v>
      </c>
      <c r="D559" s="50">
        <v>0.02</v>
      </c>
      <c r="E559" s="16">
        <v>5.9999999999999995E-4</v>
      </c>
      <c r="G559" s="55">
        <f>D559/D578-1</f>
        <v>1</v>
      </c>
      <c r="I559" s="21">
        <v>15</v>
      </c>
      <c r="J559" s="21" t="s">
        <v>476</v>
      </c>
      <c r="K559" s="57">
        <f t="shared" si="38"/>
        <v>0.05</v>
      </c>
      <c r="L559" s="56">
        <f t="shared" si="39"/>
        <v>5.8616647127784297E-4</v>
      </c>
      <c r="M559" s="16"/>
      <c r="N559" s="16"/>
      <c r="O559" s="21">
        <v>15</v>
      </c>
      <c r="P559" s="57" t="s">
        <v>375</v>
      </c>
      <c r="Q559" s="58">
        <v>0.01</v>
      </c>
      <c r="R559" s="53">
        <v>5.9999999999999995E-4</v>
      </c>
      <c r="T559" s="21">
        <v>15</v>
      </c>
      <c r="U559" s="56" t="s">
        <v>399</v>
      </c>
      <c r="V559" s="49">
        <v>0</v>
      </c>
      <c r="W559" s="54">
        <v>0</v>
      </c>
      <c r="AA559" s="21"/>
      <c r="AB559" s="21"/>
      <c r="AC559" s="21"/>
      <c r="AD559" s="21"/>
      <c r="AE559" s="53"/>
      <c r="AF559" s="53"/>
      <c r="AG559" s="53"/>
      <c r="AH559" s="15"/>
    </row>
    <row r="560" spans="2:39" ht="14" customHeight="1" x14ac:dyDescent="0.25">
      <c r="B560" s="21"/>
      <c r="C560" s="21" t="s">
        <v>77</v>
      </c>
      <c r="D560" s="50">
        <f>D561-SUM(D545:D559)</f>
        <v>0.46000000000000085</v>
      </c>
      <c r="E560" s="16">
        <f>E561-SUM(E545:E559)</f>
        <v>1.9999999999998908E-3</v>
      </c>
      <c r="F560" s="52"/>
      <c r="G560" s="55">
        <f>D560/D580-1</f>
        <v>1.0909090909091392</v>
      </c>
      <c r="I560" s="21"/>
      <c r="J560" s="21" t="s">
        <v>77</v>
      </c>
      <c r="K560" s="57">
        <f t="shared" si="38"/>
        <v>1.1499999999999915</v>
      </c>
      <c r="L560" s="56">
        <f t="shared" si="39"/>
        <v>1.3481828839390288E-2</v>
      </c>
      <c r="M560" s="16"/>
      <c r="N560" s="16"/>
      <c r="P560" s="21" t="s">
        <v>77</v>
      </c>
      <c r="Q560" s="50">
        <f>Q561-SUM(Q545:Q559)</f>
        <v>9.9999999999944578E-3</v>
      </c>
      <c r="R560" s="53">
        <f>R561-SUM(R545:R559)</f>
        <v>2.0999999999998797E-3</v>
      </c>
      <c r="T560" s="56"/>
      <c r="U560" s="21" t="s">
        <v>77</v>
      </c>
      <c r="V560" s="50">
        <v>0</v>
      </c>
      <c r="W560" s="54">
        <f>V560/V$621</f>
        <v>0</v>
      </c>
    </row>
    <row r="561" spans="2:39" ht="14" customHeight="1" x14ac:dyDescent="0.25">
      <c r="B561" s="21"/>
      <c r="C561" s="21" t="s">
        <v>78</v>
      </c>
      <c r="D561" s="50">
        <v>35</v>
      </c>
      <c r="E561" s="16">
        <f>D561/D561</f>
        <v>1</v>
      </c>
      <c r="F561" s="52">
        <f>D561/27.8-1</f>
        <v>0.25899280575539563</v>
      </c>
      <c r="G561" s="55">
        <f>D561/D581-1</f>
        <v>0.94444444444444442</v>
      </c>
      <c r="I561" s="21"/>
      <c r="J561" s="21" t="s">
        <v>78</v>
      </c>
      <c r="K561" s="57">
        <f t="shared" si="38"/>
        <v>85.3</v>
      </c>
      <c r="L561" s="56">
        <f t="shared" si="39"/>
        <v>1</v>
      </c>
      <c r="M561" s="16"/>
      <c r="N561" s="16"/>
      <c r="P561" s="21" t="s">
        <v>78</v>
      </c>
      <c r="Q561" s="57">
        <v>23.6</v>
      </c>
      <c r="R561" s="53">
        <f>Q561/Q$561</f>
        <v>1</v>
      </c>
      <c r="S561" s="228"/>
      <c r="U561" s="21" t="s">
        <v>78</v>
      </c>
      <c r="V561" s="57">
        <v>11.3</v>
      </c>
      <c r="W561" s="65">
        <v>1</v>
      </c>
      <c r="X561" s="228"/>
    </row>
    <row r="562" spans="2:39" ht="14" customHeight="1" x14ac:dyDescent="0.25">
      <c r="C562" s="21"/>
      <c r="D562" s="50"/>
      <c r="E562" s="16"/>
      <c r="F562" s="52"/>
      <c r="G562" s="55"/>
      <c r="O562" s="25"/>
      <c r="T562" s="25"/>
      <c r="AA562" s="25"/>
      <c r="AB562" s="15"/>
      <c r="AC562" s="15"/>
      <c r="AD562" s="15"/>
      <c r="AE562" s="15"/>
      <c r="AF562" s="15"/>
      <c r="AI562" s="25"/>
      <c r="AJ562" s="15"/>
      <c r="AK562" s="15"/>
      <c r="AL562" s="15"/>
      <c r="AM562" s="15"/>
    </row>
    <row r="563" spans="2:39" ht="14" customHeight="1" x14ac:dyDescent="0.25">
      <c r="B563" s="15" t="s">
        <v>481</v>
      </c>
      <c r="C563" s="21"/>
      <c r="D563" s="50"/>
      <c r="E563" s="16"/>
      <c r="F563" s="52"/>
      <c r="G563" s="55"/>
      <c r="I563" s="15" t="s">
        <v>482</v>
      </c>
      <c r="O563" s="25" t="s">
        <v>483</v>
      </c>
      <c r="T563" s="25" t="s">
        <v>484</v>
      </c>
      <c r="AA563" s="25"/>
      <c r="AB563" s="15"/>
      <c r="AC563" s="15"/>
      <c r="AD563" s="15"/>
      <c r="AE563" s="15"/>
      <c r="AF563" s="15"/>
      <c r="AI563" s="25"/>
      <c r="AJ563" s="15"/>
      <c r="AK563" s="15"/>
      <c r="AL563" s="15"/>
      <c r="AM563" s="15"/>
    </row>
    <row r="564" spans="2:39" ht="14" customHeight="1" x14ac:dyDescent="0.25">
      <c r="B564" s="21" t="s">
        <v>334</v>
      </c>
      <c r="C564" s="21" t="s">
        <v>335</v>
      </c>
      <c r="D564" s="9" t="s">
        <v>436</v>
      </c>
      <c r="E564" s="21" t="s">
        <v>337</v>
      </c>
      <c r="F564" s="21" t="s">
        <v>423</v>
      </c>
      <c r="G564" s="21" t="s">
        <v>424</v>
      </c>
      <c r="I564" s="21" t="s">
        <v>334</v>
      </c>
      <c r="J564" s="21" t="s">
        <v>335</v>
      </c>
      <c r="K564" s="9" t="s">
        <v>437</v>
      </c>
      <c r="L564" s="21" t="s">
        <v>337</v>
      </c>
      <c r="M564" s="21" t="s">
        <v>423</v>
      </c>
      <c r="N564" s="21"/>
      <c r="O564" s="21" t="s">
        <v>334</v>
      </c>
      <c r="P564" s="21" t="s">
        <v>335</v>
      </c>
      <c r="Q564" s="50" t="s">
        <v>438</v>
      </c>
      <c r="R564" s="56" t="s">
        <v>384</v>
      </c>
      <c r="S564" s="21"/>
      <c r="T564" s="21" t="s">
        <v>334</v>
      </c>
      <c r="U564" s="56" t="s">
        <v>381</v>
      </c>
      <c r="V564" s="21" t="s">
        <v>438</v>
      </c>
      <c r="W564" s="57" t="s">
        <v>337</v>
      </c>
      <c r="X564" s="21"/>
      <c r="AA564" s="21"/>
      <c r="AB564" s="21"/>
      <c r="AC564" s="9"/>
      <c r="AD564" s="21"/>
      <c r="AE564" s="21"/>
      <c r="AF564" s="21"/>
      <c r="AI564" s="21"/>
      <c r="AJ564" s="21"/>
      <c r="AK564" s="9"/>
      <c r="AL564" s="21"/>
    </row>
    <row r="565" spans="2:39" ht="14" customHeight="1" x14ac:dyDescent="0.25">
      <c r="B565" s="21">
        <v>1</v>
      </c>
      <c r="C565" s="21" t="s">
        <v>68</v>
      </c>
      <c r="D565" s="50">
        <v>9.82</v>
      </c>
      <c r="E565" s="16">
        <v>0.55159999999999998</v>
      </c>
      <c r="F565" s="55">
        <f>D565/9.6-1</f>
        <v>2.2916666666666696E-2</v>
      </c>
      <c r="G565" s="55">
        <f>D565/D585-1</f>
        <v>-0.38471177944862156</v>
      </c>
      <c r="I565" s="21">
        <v>1</v>
      </c>
      <c r="J565" s="21" t="s">
        <v>68</v>
      </c>
      <c r="K565" s="57">
        <v>25.77</v>
      </c>
      <c r="L565" s="56">
        <v>0.51749999999999996</v>
      </c>
      <c r="M565" s="16">
        <f>K565/16.76-1</f>
        <v>0.5375894988066825</v>
      </c>
      <c r="N565" s="16"/>
      <c r="O565" s="21">
        <v>1</v>
      </c>
      <c r="P565" s="57" t="s">
        <v>68</v>
      </c>
      <c r="Q565" s="59">
        <v>4.9800000000000004</v>
      </c>
      <c r="R565" s="53">
        <f>Q565/Q$581</f>
        <v>0.44864864864864873</v>
      </c>
      <c r="T565" s="21">
        <v>1</v>
      </c>
      <c r="U565" s="56" t="s">
        <v>98</v>
      </c>
      <c r="V565" s="21">
        <v>4.84</v>
      </c>
      <c r="W565" s="54">
        <v>0.71330000000000005</v>
      </c>
      <c r="AA565" s="21"/>
      <c r="AB565" s="21"/>
      <c r="AC565" s="50"/>
      <c r="AD565" s="16"/>
      <c r="AE565" s="55"/>
      <c r="AF565" s="55"/>
      <c r="AI565" s="21"/>
      <c r="AJ565" s="21"/>
      <c r="AK565" s="50"/>
      <c r="AL565" s="16"/>
    </row>
    <row r="566" spans="2:39" ht="14" customHeight="1" x14ac:dyDescent="0.25">
      <c r="B566" s="21">
        <v>2</v>
      </c>
      <c r="C566" s="21" t="s">
        <v>69</v>
      </c>
      <c r="D566" s="50">
        <v>3.16</v>
      </c>
      <c r="E566" s="16">
        <v>0.17749999999999999</v>
      </c>
      <c r="F566" s="55">
        <f>D566/7.5-1</f>
        <v>-0.57866666666666666</v>
      </c>
      <c r="G566" s="55">
        <f>D566/D586-1</f>
        <v>-0.47333333333333327</v>
      </c>
      <c r="I566" s="21">
        <v>2</v>
      </c>
      <c r="J566" s="21" t="s">
        <v>69</v>
      </c>
      <c r="K566" s="57">
        <v>9.16</v>
      </c>
      <c r="L566" s="56">
        <v>0.18390000000000001</v>
      </c>
      <c r="M566" s="16">
        <f>K566/13.01-1</f>
        <v>-0.29592621060722524</v>
      </c>
      <c r="N566" s="16"/>
      <c r="O566" s="21">
        <v>2</v>
      </c>
      <c r="P566" s="57" t="s">
        <v>69</v>
      </c>
      <c r="Q566" s="59">
        <v>3.16</v>
      </c>
      <c r="R566" s="53">
        <f t="shared" ref="R566:R581" si="40">Q566/Q$581</f>
        <v>0.28468468468468472</v>
      </c>
      <c r="T566" s="21">
        <v>2</v>
      </c>
      <c r="U566" s="56" t="s">
        <v>100</v>
      </c>
      <c r="V566" s="21">
        <v>0.57999999999999996</v>
      </c>
      <c r="W566" s="54">
        <v>8.5000000000000006E-2</v>
      </c>
      <c r="AA566" s="21"/>
      <c r="AB566" s="21"/>
      <c r="AC566" s="50"/>
      <c r="AD566" s="16"/>
      <c r="AE566" s="55"/>
      <c r="AF566" s="55"/>
      <c r="AI566" s="21"/>
      <c r="AJ566" s="21"/>
      <c r="AK566" s="50"/>
      <c r="AL566" s="16"/>
    </row>
    <row r="567" spans="2:39" ht="14" customHeight="1" x14ac:dyDescent="0.25">
      <c r="B567" s="21">
        <v>3</v>
      </c>
      <c r="C567" s="21" t="s">
        <v>71</v>
      </c>
      <c r="D567" s="50">
        <v>1.1399999999999999</v>
      </c>
      <c r="E567" s="16">
        <v>6.3799999999999996E-2</v>
      </c>
      <c r="F567" s="55">
        <f>D567/1.62-1</f>
        <v>-0.29629629629629639</v>
      </c>
      <c r="G567" s="55">
        <f>D567/D587-1</f>
        <v>-0.34857142857142864</v>
      </c>
      <c r="I567" s="21">
        <v>3</v>
      </c>
      <c r="J567" s="21" t="s">
        <v>71</v>
      </c>
      <c r="K567" s="57">
        <v>2.88</v>
      </c>
      <c r="L567" s="56">
        <v>5.79E-2</v>
      </c>
      <c r="M567" s="16">
        <f>K567/2.42-1</f>
        <v>0.19008264462809921</v>
      </c>
      <c r="N567" s="16"/>
      <c r="O567" s="21">
        <v>3</v>
      </c>
      <c r="P567" s="57" t="s">
        <v>71</v>
      </c>
      <c r="Q567" s="58">
        <v>0.56000000000000005</v>
      </c>
      <c r="R567" s="53">
        <f t="shared" si="40"/>
        <v>5.0450450450450456E-2</v>
      </c>
      <c r="T567" s="21">
        <v>3</v>
      </c>
      <c r="U567" s="21" t="s">
        <v>127</v>
      </c>
      <c r="V567" s="21">
        <v>0.36</v>
      </c>
      <c r="W567" s="54">
        <v>5.2499999999999998E-2</v>
      </c>
      <c r="AA567" s="21"/>
      <c r="AB567" s="21"/>
      <c r="AC567" s="50"/>
      <c r="AD567" s="16"/>
      <c r="AE567" s="55"/>
      <c r="AF567" s="55"/>
      <c r="AI567" s="21"/>
      <c r="AJ567" s="21"/>
      <c r="AK567" s="50"/>
      <c r="AL567" s="16"/>
    </row>
    <row r="568" spans="2:39" ht="14" customHeight="1" x14ac:dyDescent="0.25">
      <c r="B568" s="21">
        <v>4</v>
      </c>
      <c r="C568" s="21" t="s">
        <v>73</v>
      </c>
      <c r="D568" s="50">
        <v>0.63</v>
      </c>
      <c r="E568" s="16">
        <v>3.5200000000000002E-2</v>
      </c>
      <c r="F568" s="55">
        <f>D568/0.71-1</f>
        <v>-0.11267605633802813</v>
      </c>
      <c r="G568" s="55">
        <f>D568/D590-1</f>
        <v>-0.53333333333333344</v>
      </c>
      <c r="I568" s="21">
        <v>4</v>
      </c>
      <c r="J568" s="21" t="s">
        <v>70</v>
      </c>
      <c r="K568" s="57">
        <v>2.09</v>
      </c>
      <c r="L568" s="56">
        <v>4.19E-2</v>
      </c>
      <c r="M568" s="16">
        <f>K568/1.4-1</f>
        <v>0.49285714285714288</v>
      </c>
      <c r="N568" s="16"/>
      <c r="O568" s="21">
        <v>4</v>
      </c>
      <c r="P568" s="57" t="s">
        <v>73</v>
      </c>
      <c r="Q568" s="59">
        <v>0.52</v>
      </c>
      <c r="R568" s="53">
        <f t="shared" si="40"/>
        <v>4.6846846846846847E-2</v>
      </c>
      <c r="T568" s="21">
        <v>4</v>
      </c>
      <c r="U568" s="56" t="s">
        <v>181</v>
      </c>
      <c r="V568" s="21">
        <v>0.34</v>
      </c>
      <c r="W568" s="54">
        <v>5.04E-2</v>
      </c>
      <c r="AA568" s="21"/>
      <c r="AB568" s="21"/>
      <c r="AC568" s="50"/>
      <c r="AD568" s="16"/>
      <c r="AE568" s="55"/>
      <c r="AF568" s="55"/>
      <c r="AI568" s="21"/>
      <c r="AJ568" s="21"/>
      <c r="AK568" s="50"/>
      <c r="AL568" s="16"/>
    </row>
    <row r="569" spans="2:39" ht="14" customHeight="1" x14ac:dyDescent="0.25">
      <c r="B569" s="21">
        <v>5</v>
      </c>
      <c r="C569" s="21" t="s">
        <v>129</v>
      </c>
      <c r="D569" s="50">
        <v>0.57999999999999996</v>
      </c>
      <c r="E569" s="16">
        <v>3.2500000000000001E-2</v>
      </c>
      <c r="F569" s="55">
        <f>D569/0.39-1</f>
        <v>0.487179487179487</v>
      </c>
      <c r="G569" s="55">
        <f>D569/D591-1</f>
        <v>-0.38297872340425532</v>
      </c>
      <c r="I569" s="21">
        <v>5</v>
      </c>
      <c r="J569" s="21" t="s">
        <v>73</v>
      </c>
      <c r="K569" s="57">
        <v>1.98</v>
      </c>
      <c r="L569" s="56">
        <v>3.9699999999999999E-2</v>
      </c>
      <c r="M569" s="16">
        <f>K569/1.35-1</f>
        <v>0.46666666666666656</v>
      </c>
      <c r="N569" s="16"/>
      <c r="O569" s="21">
        <v>5</v>
      </c>
      <c r="P569" s="57" t="s">
        <v>322</v>
      </c>
      <c r="Q569" s="59">
        <v>0.46</v>
      </c>
      <c r="R569" s="53">
        <f t="shared" si="40"/>
        <v>4.1441441441441441E-2</v>
      </c>
      <c r="T569" s="21">
        <v>5</v>
      </c>
      <c r="U569" s="56" t="s">
        <v>104</v>
      </c>
      <c r="V569" s="21">
        <v>0.32</v>
      </c>
      <c r="W569" s="54">
        <v>4.7500000000000001E-2</v>
      </c>
      <c r="AA569" s="21"/>
      <c r="AB569" s="21"/>
      <c r="AC569" s="50"/>
      <c r="AD569" s="16"/>
      <c r="AE569" s="55"/>
      <c r="AF569" s="55"/>
      <c r="AI569" s="21"/>
      <c r="AJ569" s="21"/>
      <c r="AK569" s="50"/>
      <c r="AL569" s="16"/>
    </row>
    <row r="570" spans="2:39" ht="14" customHeight="1" x14ac:dyDescent="0.25">
      <c r="B570" s="21">
        <v>6</v>
      </c>
      <c r="C570" s="21" t="s">
        <v>70</v>
      </c>
      <c r="D570" s="50">
        <v>0.53</v>
      </c>
      <c r="E570" s="16">
        <v>2.9499999999999998E-2</v>
      </c>
      <c r="F570" s="55">
        <f>D570/0.78-1</f>
        <v>-0.32051282051282048</v>
      </c>
      <c r="G570" s="55">
        <f>D570/D588-1</f>
        <v>-0.66025641025641024</v>
      </c>
      <c r="I570" s="21">
        <v>6</v>
      </c>
      <c r="J570" s="21" t="s">
        <v>74</v>
      </c>
      <c r="K570" s="57">
        <v>1.89</v>
      </c>
      <c r="L570" s="56">
        <v>3.7999999999999999E-2</v>
      </c>
      <c r="M570" s="16">
        <f>K570/0.36-1</f>
        <v>4.25</v>
      </c>
      <c r="N570" s="16"/>
      <c r="O570" s="21">
        <v>6</v>
      </c>
      <c r="P570" s="57" t="s">
        <v>70</v>
      </c>
      <c r="Q570" s="59">
        <v>0.44</v>
      </c>
      <c r="R570" s="53">
        <f t="shared" si="40"/>
        <v>3.9639639639639644E-2</v>
      </c>
      <c r="T570" s="21">
        <v>6</v>
      </c>
      <c r="U570" s="56" t="s">
        <v>103</v>
      </c>
      <c r="V570" s="21">
        <v>0.11</v>
      </c>
      <c r="W570" s="54">
        <v>1.6E-2</v>
      </c>
      <c r="AA570" s="21"/>
      <c r="AB570" s="21"/>
      <c r="AC570" s="50"/>
      <c r="AD570" s="16"/>
      <c r="AE570" s="52"/>
      <c r="AF570" s="55"/>
      <c r="AI570" s="21"/>
      <c r="AJ570" s="21"/>
      <c r="AK570" s="50"/>
      <c r="AL570" s="16"/>
      <c r="AM570" s="52"/>
    </row>
    <row r="571" spans="2:39" ht="14" customHeight="1" x14ac:dyDescent="0.25">
      <c r="B571" s="21">
        <v>7</v>
      </c>
      <c r="C571" s="21" t="s">
        <v>322</v>
      </c>
      <c r="D571" s="50">
        <v>0.46</v>
      </c>
      <c r="E571" s="16">
        <v>2.58E-2</v>
      </c>
      <c r="F571" s="55">
        <f>D571/0.08-1</f>
        <v>4.75</v>
      </c>
      <c r="G571" s="55">
        <f>D571/D593-1</f>
        <v>-0.26984126984126977</v>
      </c>
      <c r="I571" s="21">
        <v>7</v>
      </c>
      <c r="J571" s="21" t="s">
        <v>129</v>
      </c>
      <c r="K571" s="57">
        <v>1.52</v>
      </c>
      <c r="L571" s="56">
        <v>3.0499999999999999E-2</v>
      </c>
      <c r="M571" s="16">
        <f>K571/0.8-1</f>
        <v>0.89999999999999991</v>
      </c>
      <c r="N571" s="16"/>
      <c r="O571" s="21">
        <v>7</v>
      </c>
      <c r="P571" s="57" t="s">
        <v>397</v>
      </c>
      <c r="Q571" s="58">
        <v>0.3</v>
      </c>
      <c r="R571" s="53">
        <f t="shared" si="40"/>
        <v>2.7027027027027029E-2</v>
      </c>
      <c r="T571" s="21">
        <v>7</v>
      </c>
      <c r="U571" s="56" t="s">
        <v>101</v>
      </c>
      <c r="V571" s="49">
        <v>0.08</v>
      </c>
      <c r="W571" s="54">
        <v>1.23E-2</v>
      </c>
      <c r="AA571" s="21"/>
      <c r="AB571" s="21"/>
      <c r="AC571" s="50"/>
      <c r="AD571" s="16"/>
      <c r="AE571" s="52"/>
      <c r="AF571" s="55"/>
      <c r="AI571" s="21"/>
      <c r="AJ571" s="21"/>
      <c r="AK571" s="50"/>
      <c r="AL571" s="16"/>
      <c r="AM571" s="52"/>
    </row>
    <row r="572" spans="2:39" ht="14" customHeight="1" x14ac:dyDescent="0.25">
      <c r="B572" s="21">
        <v>8</v>
      </c>
      <c r="C572" s="21" t="s">
        <v>74</v>
      </c>
      <c r="D572" s="50">
        <v>0.42</v>
      </c>
      <c r="E572" s="16">
        <v>2.35E-2</v>
      </c>
      <c r="F572" s="55">
        <f>D572/0.2-1</f>
        <v>1.0999999999999996</v>
      </c>
      <c r="G572" s="55">
        <f>D572/D589-1</f>
        <v>-0.7142857142857143</v>
      </c>
      <c r="I572" s="21">
        <v>8</v>
      </c>
      <c r="J572" s="21" t="s">
        <v>127</v>
      </c>
      <c r="K572" s="57">
        <v>1.22</v>
      </c>
      <c r="L572" s="56">
        <v>2.4400000000000002E-2</v>
      </c>
      <c r="M572" s="16">
        <f>K572/0.72-1</f>
        <v>0.69444444444444442</v>
      </c>
      <c r="N572" s="16"/>
      <c r="O572" s="21">
        <v>8</v>
      </c>
      <c r="P572" s="57" t="s">
        <v>129</v>
      </c>
      <c r="Q572" s="58">
        <v>0.24</v>
      </c>
      <c r="R572" s="53">
        <f t="shared" si="40"/>
        <v>2.1621621621621623E-2</v>
      </c>
      <c r="T572" s="21">
        <v>8</v>
      </c>
      <c r="U572" s="56" t="s">
        <v>185</v>
      </c>
      <c r="V572" s="21">
        <v>0.08</v>
      </c>
      <c r="W572" s="54">
        <v>1.2E-2</v>
      </c>
      <c r="AA572" s="21"/>
      <c r="AB572" s="21"/>
      <c r="AC572" s="21"/>
      <c r="AD572" s="21"/>
      <c r="AE572" s="53"/>
      <c r="AF572" s="53"/>
      <c r="AG572" s="53"/>
      <c r="AH572" s="15"/>
    </row>
    <row r="573" spans="2:39" ht="14" customHeight="1" x14ac:dyDescent="0.25">
      <c r="B573" s="21">
        <v>9</v>
      </c>
      <c r="C573" s="21" t="s">
        <v>127</v>
      </c>
      <c r="D573" s="50">
        <v>0.36</v>
      </c>
      <c r="E573" s="16">
        <v>0.02</v>
      </c>
      <c r="F573" s="55">
        <f>D573/0.5-1</f>
        <v>-0.28000000000000003</v>
      </c>
      <c r="G573" s="55">
        <f>D573/D592-1</f>
        <v>-0.58139534883720934</v>
      </c>
      <c r="I573" s="21">
        <v>9</v>
      </c>
      <c r="J573" s="21" t="s">
        <v>322</v>
      </c>
      <c r="K573" s="57">
        <v>1.0900000000000001</v>
      </c>
      <c r="L573" s="56">
        <v>2.1999999999999999E-2</v>
      </c>
      <c r="M573" s="16">
        <f>K573/0.1-1</f>
        <v>9.9</v>
      </c>
      <c r="N573" s="16"/>
      <c r="O573" s="21">
        <v>9</v>
      </c>
      <c r="P573" s="57" t="s">
        <v>323</v>
      </c>
      <c r="Q573" s="59">
        <v>0.11</v>
      </c>
      <c r="R573" s="53">
        <f t="shared" si="40"/>
        <v>9.909909909909911E-3</v>
      </c>
      <c r="T573" s="21">
        <v>9</v>
      </c>
      <c r="U573" s="56" t="s">
        <v>370</v>
      </c>
      <c r="V573" s="21">
        <v>7.0000000000000007E-2</v>
      </c>
      <c r="W573" s="54">
        <v>9.7999999999999997E-3</v>
      </c>
      <c r="AA573" s="21"/>
      <c r="AB573" s="21"/>
      <c r="AC573" s="21"/>
      <c r="AD573" s="21"/>
      <c r="AE573" s="53"/>
      <c r="AF573" s="53"/>
      <c r="AG573" s="53"/>
      <c r="AH573" s="15"/>
    </row>
    <row r="574" spans="2:39" ht="14" customHeight="1" x14ac:dyDescent="0.25">
      <c r="B574" s="21">
        <v>10</v>
      </c>
      <c r="C574" s="15" t="s">
        <v>398</v>
      </c>
      <c r="D574" s="50">
        <v>0.3</v>
      </c>
      <c r="E574" s="16">
        <v>1.7000000000000001E-2</v>
      </c>
      <c r="F574" s="55"/>
      <c r="G574" s="55">
        <f>D574/D596-1</f>
        <v>-3.2258064516129115E-2</v>
      </c>
      <c r="I574" s="21">
        <v>10</v>
      </c>
      <c r="J574" s="15" t="s">
        <v>398</v>
      </c>
      <c r="K574" s="57">
        <v>0.61</v>
      </c>
      <c r="L574" s="56">
        <v>1.23E-2</v>
      </c>
      <c r="M574" s="15">
        <v>0</v>
      </c>
      <c r="O574" s="21">
        <v>10</v>
      </c>
      <c r="P574" s="57" t="s">
        <v>326</v>
      </c>
      <c r="Q574" s="58">
        <v>0.1</v>
      </c>
      <c r="R574" s="53">
        <f t="shared" si="40"/>
        <v>9.0090090090090089E-3</v>
      </c>
      <c r="T574" s="21">
        <v>10</v>
      </c>
      <c r="U574" s="56" t="s">
        <v>369</v>
      </c>
      <c r="V574" s="49">
        <v>0</v>
      </c>
      <c r="W574" s="54">
        <v>4.0000000000000002E-4</v>
      </c>
      <c r="AA574" s="21"/>
      <c r="AB574" s="21"/>
      <c r="AC574" s="21"/>
      <c r="AD574" s="21"/>
      <c r="AE574" s="53"/>
      <c r="AF574" s="53"/>
      <c r="AG574" s="53"/>
      <c r="AH574" s="15"/>
    </row>
    <row r="575" spans="2:39" ht="14" customHeight="1" x14ac:dyDescent="0.25">
      <c r="B575" s="21">
        <v>11</v>
      </c>
      <c r="C575" s="21" t="s">
        <v>323</v>
      </c>
      <c r="D575" s="50">
        <v>0.18</v>
      </c>
      <c r="E575" s="16">
        <v>1.01E-2</v>
      </c>
      <c r="F575" s="55">
        <f>D575/0.03-1</f>
        <v>5</v>
      </c>
      <c r="G575" s="55">
        <f>D575/D594-1</f>
        <v>-0.55000000000000004</v>
      </c>
      <c r="I575" s="21">
        <v>11</v>
      </c>
      <c r="J575" s="21" t="s">
        <v>323</v>
      </c>
      <c r="K575" s="57">
        <v>0.57999999999999996</v>
      </c>
      <c r="L575" s="65">
        <v>1.1599999999999999E-2</v>
      </c>
      <c r="M575" s="16">
        <f>K575/0.13-1</f>
        <v>3.4615384615384608</v>
      </c>
      <c r="N575" s="16"/>
      <c r="O575" s="21">
        <v>11</v>
      </c>
      <c r="P575" s="57" t="s">
        <v>74</v>
      </c>
      <c r="Q575" s="58">
        <v>0.1</v>
      </c>
      <c r="R575" s="53">
        <f t="shared" si="40"/>
        <v>9.0090090090090089E-3</v>
      </c>
      <c r="T575" s="21">
        <v>11</v>
      </c>
      <c r="U575" s="56" t="s">
        <v>458</v>
      </c>
      <c r="V575" s="49">
        <v>0</v>
      </c>
      <c r="W575" s="54">
        <v>2.9999999999999997E-4</v>
      </c>
      <c r="AA575" s="21"/>
      <c r="AB575" s="21"/>
      <c r="AC575" s="21"/>
      <c r="AD575" s="21"/>
      <c r="AE575" s="53"/>
      <c r="AF575" s="53"/>
      <c r="AG575" s="53"/>
      <c r="AH575" s="15"/>
    </row>
    <row r="576" spans="2:39" ht="14" customHeight="1" x14ac:dyDescent="0.25">
      <c r="B576" s="21">
        <v>12</v>
      </c>
      <c r="C576" s="21" t="s">
        <v>326</v>
      </c>
      <c r="D576" s="50">
        <v>0.1</v>
      </c>
      <c r="E576" s="16">
        <v>5.7000000000000002E-3</v>
      </c>
      <c r="F576" s="55"/>
      <c r="G576" s="55">
        <f>D576/D598-1</f>
        <v>-0.52380952380952372</v>
      </c>
      <c r="I576" s="21">
        <v>12</v>
      </c>
      <c r="J576" s="21" t="s">
        <v>357</v>
      </c>
      <c r="K576" s="57">
        <v>0.44</v>
      </c>
      <c r="L576" s="65">
        <v>8.8000000000000005E-3</v>
      </c>
      <c r="M576" s="16">
        <f>K576/0.34-1</f>
        <v>0.29411764705882337</v>
      </c>
      <c r="N576" s="16"/>
      <c r="O576" s="21">
        <v>12</v>
      </c>
      <c r="P576" s="57" t="s">
        <v>476</v>
      </c>
      <c r="Q576" s="59">
        <v>0.01</v>
      </c>
      <c r="R576" s="53">
        <f t="shared" si="40"/>
        <v>9.0090090090090091E-4</v>
      </c>
      <c r="T576" s="21">
        <v>12</v>
      </c>
      <c r="U576" s="56" t="s">
        <v>392</v>
      </c>
      <c r="V576" s="49">
        <v>0</v>
      </c>
      <c r="W576" s="54">
        <v>2.9999999999999997E-4</v>
      </c>
      <c r="AA576" s="21"/>
      <c r="AB576" s="21"/>
      <c r="AC576" s="21"/>
      <c r="AD576" s="21"/>
      <c r="AE576" s="53"/>
      <c r="AF576" s="53"/>
      <c r="AG576" s="53"/>
      <c r="AH576" s="15"/>
    </row>
    <row r="577" spans="2:39" ht="14" customHeight="1" x14ac:dyDescent="0.25">
      <c r="B577" s="21">
        <v>13</v>
      </c>
      <c r="C577" s="21" t="s">
        <v>357</v>
      </c>
      <c r="D577" s="50">
        <v>0.08</v>
      </c>
      <c r="E577" s="16">
        <v>4.5999999999999999E-3</v>
      </c>
      <c r="F577" s="55">
        <f>D577/0.19-1</f>
        <v>-0.57894736842105265</v>
      </c>
      <c r="G577" s="55">
        <f>D577/D595-1</f>
        <v>-0.77777777777777779</v>
      </c>
      <c r="I577" s="21">
        <v>13</v>
      </c>
      <c r="J577" s="21" t="s">
        <v>326</v>
      </c>
      <c r="K577" s="57">
        <v>0.31</v>
      </c>
      <c r="L577" s="65">
        <v>6.3E-3</v>
      </c>
      <c r="M577" s="16">
        <f>K577/0.1-1</f>
        <v>2.0999999999999996</v>
      </c>
      <c r="N577" s="16"/>
      <c r="O577" s="21">
        <v>13</v>
      </c>
      <c r="P577" s="57" t="s">
        <v>408</v>
      </c>
      <c r="Q577" s="59">
        <v>0.01</v>
      </c>
      <c r="R577" s="53">
        <f t="shared" si="40"/>
        <v>9.0090090090090091E-4</v>
      </c>
      <c r="T577" s="21">
        <v>13</v>
      </c>
      <c r="U577" s="56" t="s">
        <v>355</v>
      </c>
      <c r="V577" s="49">
        <v>0</v>
      </c>
      <c r="W577" s="54">
        <v>1E-4</v>
      </c>
      <c r="AA577" s="21"/>
      <c r="AB577" s="21"/>
      <c r="AC577" s="21"/>
      <c r="AD577" s="21"/>
      <c r="AE577" s="53"/>
      <c r="AF577" s="53"/>
      <c r="AG577" s="53"/>
      <c r="AH577" s="15"/>
    </row>
    <row r="578" spans="2:39" ht="14" customHeight="1" x14ac:dyDescent="0.25">
      <c r="B578" s="21">
        <v>14</v>
      </c>
      <c r="C578" s="21" t="s">
        <v>476</v>
      </c>
      <c r="D578" s="50">
        <v>0.01</v>
      </c>
      <c r="E578" s="16">
        <v>5.9999999999999995E-4</v>
      </c>
      <c r="F578" s="55"/>
      <c r="G578" s="55">
        <f>D578/0.02-1</f>
        <v>-0.5</v>
      </c>
      <c r="I578" s="21">
        <v>14</v>
      </c>
      <c r="J578" s="21" t="s">
        <v>485</v>
      </c>
      <c r="K578" s="57">
        <v>0.04</v>
      </c>
      <c r="L578" s="65">
        <v>8.9999999999999998E-4</v>
      </c>
      <c r="M578" s="16"/>
      <c r="N578" s="16"/>
      <c r="O578" s="21">
        <v>14</v>
      </c>
      <c r="P578" s="57" t="s">
        <v>485</v>
      </c>
      <c r="Q578" s="59">
        <v>0.01</v>
      </c>
      <c r="R578" s="53">
        <f t="shared" si="40"/>
        <v>9.0090090090090091E-4</v>
      </c>
      <c r="T578" s="21">
        <v>14</v>
      </c>
      <c r="U578" s="56" t="s">
        <v>441</v>
      </c>
      <c r="V578" s="49">
        <v>0</v>
      </c>
      <c r="W578" s="54">
        <v>0</v>
      </c>
      <c r="AA578" s="21"/>
      <c r="AB578" s="21"/>
      <c r="AC578" s="21"/>
      <c r="AD578" s="21"/>
      <c r="AE578" s="53"/>
      <c r="AF578" s="53"/>
      <c r="AG578" s="53"/>
      <c r="AH578" s="15"/>
    </row>
    <row r="579" spans="2:39" ht="14" customHeight="1" x14ac:dyDescent="0.25">
      <c r="B579" s="21">
        <v>15</v>
      </c>
      <c r="C579" s="21" t="s">
        <v>408</v>
      </c>
      <c r="D579" s="50">
        <v>0.01</v>
      </c>
      <c r="E579" s="16">
        <v>5.9999999999999995E-4</v>
      </c>
      <c r="F579" s="55"/>
      <c r="G579" s="55">
        <f>D579/0.02-1</f>
        <v>-0.5</v>
      </c>
      <c r="I579" s="21">
        <v>15</v>
      </c>
      <c r="J579" s="21" t="s">
        <v>408</v>
      </c>
      <c r="K579" s="57">
        <v>0.03</v>
      </c>
      <c r="L579" s="65">
        <v>5.9999999999999995E-4</v>
      </c>
      <c r="M579" s="16"/>
      <c r="N579" s="16"/>
      <c r="O579" s="21">
        <v>15</v>
      </c>
      <c r="P579" s="57" t="s">
        <v>486</v>
      </c>
      <c r="Q579" s="58">
        <v>0</v>
      </c>
      <c r="R579" s="53">
        <f t="shared" si="40"/>
        <v>0</v>
      </c>
      <c r="T579" s="21">
        <v>15</v>
      </c>
      <c r="U579" s="56" t="s">
        <v>487</v>
      </c>
      <c r="V579" s="49">
        <v>0</v>
      </c>
      <c r="W579" s="54">
        <v>0</v>
      </c>
      <c r="AA579" s="21"/>
      <c r="AB579" s="21"/>
      <c r="AC579" s="21"/>
      <c r="AD579" s="21"/>
      <c r="AE579" s="53"/>
      <c r="AF579" s="53"/>
      <c r="AG579" s="53"/>
      <c r="AH579" s="15"/>
    </row>
    <row r="580" spans="2:39" ht="14" customHeight="1" x14ac:dyDescent="0.25">
      <c r="B580" s="21"/>
      <c r="C580" s="21" t="s">
        <v>77</v>
      </c>
      <c r="D580" s="50">
        <f>D581-SUM(D565:D579)</f>
        <v>0.21999999999999531</v>
      </c>
      <c r="E580" s="16">
        <f>E581-SUM(E565:E579)</f>
        <v>1.9999999999998908E-3</v>
      </c>
      <c r="F580" s="52"/>
      <c r="G580" s="55">
        <f>D580/D600-1</f>
        <v>0.29411764705878296</v>
      </c>
      <c r="I580" s="21"/>
      <c r="J580" s="21" t="s">
        <v>77</v>
      </c>
      <c r="K580" s="50">
        <f>K581-SUM(K565:K579)</f>
        <v>0.68999999999999062</v>
      </c>
      <c r="L580" s="65">
        <f>L581-SUM(L565:L579)</f>
        <v>3.6999999999999256E-3</v>
      </c>
      <c r="M580" s="16"/>
      <c r="N580" s="16"/>
      <c r="P580" s="21" t="s">
        <v>77</v>
      </c>
      <c r="Q580" s="50">
        <f>Q581-SUM(Q565:Q579)</f>
        <v>9.9999999999999645E-2</v>
      </c>
      <c r="R580" s="53">
        <f t="shared" si="40"/>
        <v>9.0090090090089777E-3</v>
      </c>
      <c r="T580" s="56"/>
      <c r="U580" s="21" t="s">
        <v>77</v>
      </c>
      <c r="V580" s="50">
        <v>0</v>
      </c>
      <c r="W580" s="54">
        <f>V580/V$621</f>
        <v>0</v>
      </c>
    </row>
    <row r="581" spans="2:39" ht="14" customHeight="1" x14ac:dyDescent="0.25">
      <c r="B581" s="21"/>
      <c r="C581" s="21" t="s">
        <v>78</v>
      </c>
      <c r="D581" s="50">
        <v>18</v>
      </c>
      <c r="E581" s="16">
        <f>D581/D581</f>
        <v>1</v>
      </c>
      <c r="F581" s="52">
        <f>D581/21.79-1</f>
        <v>-0.17393299678751717</v>
      </c>
      <c r="G581" s="55">
        <f>D581/D601-1</f>
        <v>-0.44272445820433437</v>
      </c>
      <c r="I581" s="21"/>
      <c r="J581" s="21" t="s">
        <v>78</v>
      </c>
      <c r="K581" s="57">
        <v>50.3</v>
      </c>
      <c r="L581" s="65">
        <v>1</v>
      </c>
      <c r="M581" s="16"/>
      <c r="N581" s="16"/>
      <c r="P581" s="21" t="s">
        <v>78</v>
      </c>
      <c r="Q581" s="57">
        <v>11.1</v>
      </c>
      <c r="R581" s="53">
        <f t="shared" si="40"/>
        <v>1</v>
      </c>
      <c r="S581" s="228"/>
      <c r="U581" s="21" t="s">
        <v>78</v>
      </c>
      <c r="V581" s="57">
        <v>6.9</v>
      </c>
      <c r="W581" s="65">
        <v>1</v>
      </c>
      <c r="X581" s="228"/>
    </row>
    <row r="582" spans="2:39" ht="14" customHeight="1" x14ac:dyDescent="0.25">
      <c r="C582" s="21"/>
      <c r="D582" s="50"/>
      <c r="E582" s="16"/>
      <c r="F582" s="52"/>
      <c r="G582" s="55"/>
      <c r="O582" s="25"/>
      <c r="T582" s="25"/>
      <c r="AA582" s="25"/>
      <c r="AB582" s="15"/>
      <c r="AC582" s="15"/>
      <c r="AD582" s="15"/>
      <c r="AE582" s="15"/>
      <c r="AF582" s="15"/>
      <c r="AI582" s="25"/>
      <c r="AJ582" s="15"/>
      <c r="AK582" s="15"/>
      <c r="AL582" s="15"/>
      <c r="AM582" s="15"/>
    </row>
    <row r="583" spans="2:39" ht="14" customHeight="1" x14ac:dyDescent="0.25">
      <c r="B583" s="15" t="s">
        <v>488</v>
      </c>
      <c r="C583" s="21"/>
      <c r="D583" s="50"/>
      <c r="E583" s="16"/>
      <c r="F583" s="52"/>
      <c r="G583" s="55"/>
      <c r="O583" s="25" t="s">
        <v>489</v>
      </c>
      <c r="T583" s="25" t="s">
        <v>490</v>
      </c>
      <c r="AA583" s="25"/>
      <c r="AB583" s="15"/>
      <c r="AC583" s="15"/>
      <c r="AD583" s="15"/>
      <c r="AE583" s="15"/>
      <c r="AF583" s="15"/>
      <c r="AI583" s="25"/>
      <c r="AJ583" s="15"/>
      <c r="AK583" s="15"/>
      <c r="AL583" s="15"/>
      <c r="AM583" s="15"/>
    </row>
    <row r="584" spans="2:39" ht="14" customHeight="1" x14ac:dyDescent="0.25">
      <c r="B584" s="21" t="s">
        <v>334</v>
      </c>
      <c r="C584" s="21" t="s">
        <v>335</v>
      </c>
      <c r="D584" s="9" t="s">
        <v>436</v>
      </c>
      <c r="E584" s="21" t="s">
        <v>337</v>
      </c>
      <c r="F584" s="21" t="s">
        <v>423</v>
      </c>
      <c r="G584" s="21" t="s">
        <v>424</v>
      </c>
      <c r="I584" s="21"/>
      <c r="J584" s="21"/>
      <c r="K584" s="9"/>
      <c r="L584" s="21"/>
      <c r="M584" s="21"/>
      <c r="N584" s="21"/>
      <c r="O584" s="21" t="s">
        <v>334</v>
      </c>
      <c r="P584" s="21" t="s">
        <v>335</v>
      </c>
      <c r="Q584" s="50" t="s">
        <v>438</v>
      </c>
      <c r="R584" s="56" t="s">
        <v>384</v>
      </c>
      <c r="S584" s="21"/>
      <c r="T584" s="21" t="s">
        <v>334</v>
      </c>
      <c r="U584" s="56" t="s">
        <v>381</v>
      </c>
      <c r="V584" s="21" t="s">
        <v>438</v>
      </c>
      <c r="W584" s="57" t="s">
        <v>337</v>
      </c>
      <c r="X584" s="21"/>
      <c r="AA584" s="21"/>
      <c r="AB584" s="21"/>
      <c r="AC584" s="9"/>
      <c r="AD584" s="21"/>
      <c r="AE584" s="21"/>
      <c r="AF584" s="21"/>
      <c r="AI584" s="21"/>
      <c r="AJ584" s="21"/>
      <c r="AK584" s="9"/>
      <c r="AL584" s="21"/>
    </row>
    <row r="585" spans="2:39" ht="14" customHeight="1" x14ac:dyDescent="0.25">
      <c r="B585" s="21">
        <v>1</v>
      </c>
      <c r="C585" s="21" t="s">
        <v>68</v>
      </c>
      <c r="D585" s="50">
        <v>15.96</v>
      </c>
      <c r="E585" s="16">
        <v>0.49409999999999998</v>
      </c>
      <c r="F585" s="55">
        <v>1.2259414225941401</v>
      </c>
      <c r="G585" s="55">
        <v>-0.25140712945590998</v>
      </c>
      <c r="I585" s="21"/>
      <c r="J585" s="21"/>
      <c r="K585" s="57"/>
      <c r="L585" s="56"/>
      <c r="M585" s="16"/>
      <c r="N585" s="16"/>
      <c r="O585" s="21">
        <v>1</v>
      </c>
      <c r="P585" s="57" t="s">
        <v>68</v>
      </c>
      <c r="Q585" s="59">
        <v>7.84</v>
      </c>
      <c r="R585" s="53">
        <f>Q585/Q$601</f>
        <v>0.39796954314720812</v>
      </c>
      <c r="T585" s="21">
        <v>1</v>
      </c>
      <c r="U585" s="56" t="s">
        <v>98</v>
      </c>
      <c r="V585" s="21">
        <v>8.1199999999999992</v>
      </c>
      <c r="W585" s="54">
        <v>0.64439999999999997</v>
      </c>
      <c r="AA585" s="21"/>
      <c r="AB585" s="21"/>
      <c r="AC585" s="50"/>
      <c r="AD585" s="16"/>
      <c r="AE585" s="55"/>
      <c r="AF585" s="55"/>
      <c r="AI585" s="21"/>
      <c r="AJ585" s="21"/>
      <c r="AK585" s="50"/>
      <c r="AL585" s="16"/>
    </row>
    <row r="586" spans="2:39" ht="14" customHeight="1" x14ac:dyDescent="0.25">
      <c r="B586" s="21">
        <v>2</v>
      </c>
      <c r="C586" s="21" t="s">
        <v>69</v>
      </c>
      <c r="D586" s="50">
        <v>6</v>
      </c>
      <c r="E586" s="16">
        <v>0.18579999999999999</v>
      </c>
      <c r="F586" s="55">
        <v>8.8929219600726098E-2</v>
      </c>
      <c r="G586" s="55">
        <v>-0.45454545454545497</v>
      </c>
      <c r="I586" s="21"/>
      <c r="J586" s="21"/>
      <c r="K586" s="57"/>
      <c r="L586" s="56"/>
      <c r="M586" s="16"/>
      <c r="N586" s="16"/>
      <c r="O586" s="21">
        <v>2</v>
      </c>
      <c r="P586" s="57" t="s">
        <v>69</v>
      </c>
      <c r="Q586" s="59">
        <v>6</v>
      </c>
      <c r="R586" s="53">
        <f t="shared" ref="R586:R601" si="41">Q586/Q$601</f>
        <v>0.30456852791878175</v>
      </c>
      <c r="T586" s="21">
        <v>2</v>
      </c>
      <c r="U586" s="56" t="s">
        <v>104</v>
      </c>
      <c r="V586" s="21">
        <v>1</v>
      </c>
      <c r="W586" s="54">
        <v>7.9200000000000007E-2</v>
      </c>
      <c r="AA586" s="21"/>
      <c r="AB586" s="21"/>
      <c r="AC586" s="50"/>
      <c r="AD586" s="16"/>
      <c r="AE586" s="55"/>
      <c r="AF586" s="55"/>
      <c r="AI586" s="21"/>
      <c r="AJ586" s="21"/>
      <c r="AK586" s="50"/>
      <c r="AL586" s="16"/>
    </row>
    <row r="587" spans="2:39" ht="14" customHeight="1" x14ac:dyDescent="0.25">
      <c r="B587" s="21">
        <v>3</v>
      </c>
      <c r="C587" s="21" t="s">
        <v>71</v>
      </c>
      <c r="D587" s="50">
        <v>1.75</v>
      </c>
      <c r="E587" s="16">
        <v>5.4199999999999998E-2</v>
      </c>
      <c r="F587" s="55">
        <v>1.21518987341772</v>
      </c>
      <c r="G587" s="55">
        <v>-0.428104575163399</v>
      </c>
      <c r="I587" s="21"/>
      <c r="J587" s="21"/>
      <c r="K587" s="57"/>
      <c r="L587" s="56"/>
      <c r="M587" s="16"/>
      <c r="N587" s="16"/>
      <c r="O587" s="21">
        <v>3</v>
      </c>
      <c r="P587" s="57" t="s">
        <v>70</v>
      </c>
      <c r="Q587" s="58">
        <v>1.38</v>
      </c>
      <c r="R587" s="53">
        <f t="shared" si="41"/>
        <v>7.0050761421319788E-2</v>
      </c>
      <c r="T587" s="21">
        <v>3</v>
      </c>
      <c r="U587" s="21" t="s">
        <v>71</v>
      </c>
      <c r="V587" s="21">
        <v>0.95</v>
      </c>
      <c r="W587" s="54">
        <v>7.4999999999999997E-2</v>
      </c>
      <c r="AA587" s="21"/>
      <c r="AB587" s="21"/>
      <c r="AC587" s="50"/>
      <c r="AD587" s="16"/>
      <c r="AE587" s="55"/>
      <c r="AF587" s="55"/>
      <c r="AI587" s="21"/>
      <c r="AJ587" s="21"/>
      <c r="AK587" s="50"/>
      <c r="AL587" s="16"/>
    </row>
    <row r="588" spans="2:39" ht="14" customHeight="1" x14ac:dyDescent="0.25">
      <c r="B588" s="21">
        <v>4</v>
      </c>
      <c r="C588" s="21" t="s">
        <v>70</v>
      </c>
      <c r="D588" s="50">
        <v>1.56</v>
      </c>
      <c r="E588" s="16">
        <v>4.8300000000000003E-2</v>
      </c>
      <c r="F588" s="55">
        <v>1.55737704918033</v>
      </c>
      <c r="G588" s="55">
        <v>-0.22772277227722801</v>
      </c>
      <c r="I588" s="21"/>
      <c r="J588" s="21"/>
      <c r="K588" s="57"/>
      <c r="L588" s="56"/>
      <c r="M588" s="16"/>
      <c r="N588" s="16"/>
      <c r="O588" s="21">
        <v>4</v>
      </c>
      <c r="P588" s="57" t="s">
        <v>73</v>
      </c>
      <c r="Q588" s="59">
        <v>1.1100000000000001</v>
      </c>
      <c r="R588" s="53">
        <f t="shared" si="41"/>
        <v>5.6345177664974627E-2</v>
      </c>
      <c r="T588" s="21">
        <v>4</v>
      </c>
      <c r="U588" s="56" t="s">
        <v>172</v>
      </c>
      <c r="V588" s="21">
        <v>0.86</v>
      </c>
      <c r="W588" s="54">
        <v>6.83E-2</v>
      </c>
      <c r="AA588" s="21"/>
      <c r="AB588" s="21"/>
      <c r="AC588" s="50"/>
      <c r="AD588" s="16"/>
      <c r="AE588" s="55"/>
      <c r="AF588" s="55"/>
      <c r="AI588" s="21"/>
      <c r="AJ588" s="21"/>
      <c r="AK588" s="50"/>
      <c r="AL588" s="16"/>
    </row>
    <row r="589" spans="2:39" ht="14" customHeight="1" x14ac:dyDescent="0.25">
      <c r="B589" s="21">
        <v>5</v>
      </c>
      <c r="C589" s="21" t="s">
        <v>74</v>
      </c>
      <c r="D589" s="50">
        <v>1.47</v>
      </c>
      <c r="E589" s="16">
        <v>4.5600000000000002E-2</v>
      </c>
      <c r="F589" s="55">
        <v>8.8000000000000007</v>
      </c>
      <c r="G589" s="55">
        <v>-2.6490066225165601E-2</v>
      </c>
      <c r="I589" s="21"/>
      <c r="J589" s="21"/>
      <c r="K589" s="57"/>
      <c r="L589" s="56"/>
      <c r="M589" s="16"/>
      <c r="N589" s="16"/>
      <c r="O589" s="21">
        <v>5</v>
      </c>
      <c r="P589" s="57" t="s">
        <v>71</v>
      </c>
      <c r="Q589" s="59">
        <v>0.8</v>
      </c>
      <c r="R589" s="53">
        <f t="shared" si="41"/>
        <v>4.0609137055837567E-2</v>
      </c>
      <c r="T589" s="21">
        <v>5</v>
      </c>
      <c r="U589" s="56" t="s">
        <v>181</v>
      </c>
      <c r="V589" s="21">
        <v>0.42</v>
      </c>
      <c r="W589" s="54">
        <v>3.3500000000000002E-2</v>
      </c>
      <c r="AA589" s="21"/>
      <c r="AB589" s="21"/>
      <c r="AC589" s="50"/>
      <c r="AD589" s="16"/>
      <c r="AE589" s="55"/>
      <c r="AF589" s="55"/>
      <c r="AI589" s="21"/>
      <c r="AJ589" s="21"/>
      <c r="AK589" s="50"/>
      <c r="AL589" s="16"/>
    </row>
    <row r="590" spans="2:39" ht="14" customHeight="1" x14ac:dyDescent="0.25">
      <c r="B590" s="21">
        <v>6</v>
      </c>
      <c r="C590" s="21" t="s">
        <v>73</v>
      </c>
      <c r="D590" s="50">
        <v>1.35</v>
      </c>
      <c r="E590" s="16">
        <v>4.1799999999999997E-2</v>
      </c>
      <c r="F590" s="55">
        <v>1.109375</v>
      </c>
      <c r="G590" s="55">
        <v>-0.37788018433179699</v>
      </c>
      <c r="I590" s="21"/>
      <c r="J590" s="21"/>
      <c r="K590" s="57"/>
      <c r="L590" s="56"/>
      <c r="M590" s="16"/>
      <c r="N590" s="16"/>
      <c r="O590" s="21">
        <v>6</v>
      </c>
      <c r="P590" s="57" t="s">
        <v>322</v>
      </c>
      <c r="Q590" s="59">
        <v>0.63</v>
      </c>
      <c r="R590" s="53">
        <f t="shared" si="41"/>
        <v>3.1979695431472083E-2</v>
      </c>
      <c r="T590" s="21">
        <v>6</v>
      </c>
      <c r="U590" s="56" t="s">
        <v>185</v>
      </c>
      <c r="V590" s="21">
        <v>0.36</v>
      </c>
      <c r="W590" s="54">
        <v>2.8400000000000002E-2</v>
      </c>
      <c r="AA590" s="21"/>
      <c r="AB590" s="21"/>
      <c r="AC590" s="50"/>
      <c r="AD590" s="16"/>
      <c r="AE590" s="52"/>
      <c r="AF590" s="55"/>
      <c r="AI590" s="21"/>
      <c r="AJ590" s="21"/>
      <c r="AK590" s="50"/>
      <c r="AL590" s="16"/>
      <c r="AM590" s="52"/>
    </row>
    <row r="591" spans="2:39" ht="14" customHeight="1" x14ac:dyDescent="0.25">
      <c r="B591" s="21">
        <v>7</v>
      </c>
      <c r="C591" s="21" t="s">
        <v>129</v>
      </c>
      <c r="D591" s="50">
        <v>0.94</v>
      </c>
      <c r="E591" s="16">
        <v>2.9100000000000001E-2</v>
      </c>
      <c r="F591" s="55">
        <v>1.2926829268292701</v>
      </c>
      <c r="G591" s="55">
        <v>-0.113207547169811</v>
      </c>
      <c r="I591" s="21"/>
      <c r="J591" s="21"/>
      <c r="K591" s="57"/>
      <c r="L591" s="56"/>
      <c r="M591" s="16"/>
      <c r="N591" s="16"/>
      <c r="O591" s="21">
        <v>7</v>
      </c>
      <c r="P591" s="57" t="s">
        <v>129</v>
      </c>
      <c r="Q591" s="59">
        <v>0.52</v>
      </c>
      <c r="R591" s="53">
        <f t="shared" si="41"/>
        <v>2.639593908629442E-2</v>
      </c>
      <c r="T591" s="21">
        <v>7</v>
      </c>
      <c r="U591" s="56" t="s">
        <v>491</v>
      </c>
      <c r="V591" s="49">
        <v>0.28999999999999998</v>
      </c>
      <c r="W591" s="54">
        <v>2.3099999999999999E-2</v>
      </c>
      <c r="AA591" s="21"/>
      <c r="AB591" s="21"/>
      <c r="AC591" s="50"/>
      <c r="AD591" s="16"/>
      <c r="AE591" s="52"/>
      <c r="AF591" s="55"/>
      <c r="AI591" s="21"/>
      <c r="AJ591" s="21"/>
      <c r="AK591" s="50"/>
      <c r="AL591" s="16"/>
      <c r="AM591" s="52"/>
    </row>
    <row r="592" spans="2:39" ht="14" customHeight="1" x14ac:dyDescent="0.25">
      <c r="B592" s="21">
        <v>8</v>
      </c>
      <c r="C592" s="21" t="s">
        <v>127</v>
      </c>
      <c r="D592" s="50">
        <v>0.86</v>
      </c>
      <c r="E592" s="16">
        <v>2.6599999999999999E-2</v>
      </c>
      <c r="F592" s="55">
        <v>2.9090909090909101</v>
      </c>
      <c r="G592" s="55">
        <v>-0.27731092436974802</v>
      </c>
      <c r="I592" s="21"/>
      <c r="J592" s="21"/>
      <c r="K592" s="57"/>
      <c r="L592" s="56"/>
      <c r="M592" s="16"/>
      <c r="N592" s="16"/>
      <c r="O592" s="21">
        <v>8</v>
      </c>
      <c r="P592" s="57" t="s">
        <v>74</v>
      </c>
      <c r="Q592" s="58">
        <v>0.47</v>
      </c>
      <c r="R592" s="53">
        <f t="shared" si="41"/>
        <v>2.3857868020304568E-2</v>
      </c>
      <c r="T592" s="21">
        <v>8</v>
      </c>
      <c r="U592" s="56" t="s">
        <v>103</v>
      </c>
      <c r="V592" s="21">
        <v>0.24</v>
      </c>
      <c r="W592" s="54">
        <v>1.8700000000000001E-2</v>
      </c>
      <c r="AA592" s="21"/>
      <c r="AB592" s="21"/>
      <c r="AC592" s="21"/>
      <c r="AD592" s="21"/>
      <c r="AE592" s="53"/>
      <c r="AF592" s="53"/>
      <c r="AG592" s="53"/>
      <c r="AH592" s="15"/>
    </row>
    <row r="593" spans="2:39" ht="14" customHeight="1" x14ac:dyDescent="0.25">
      <c r="B593" s="21">
        <v>9</v>
      </c>
      <c r="C593" s="21" t="s">
        <v>322</v>
      </c>
      <c r="D593" s="50">
        <v>0.63</v>
      </c>
      <c r="E593" s="16">
        <v>1.9599999999999999E-2</v>
      </c>
      <c r="F593" s="55">
        <v>30.5</v>
      </c>
      <c r="G593" s="55">
        <v>-0.44247787610619499</v>
      </c>
      <c r="I593" s="21"/>
      <c r="K593" s="57"/>
      <c r="L593" s="56"/>
      <c r="M593" s="16"/>
      <c r="N593" s="16"/>
      <c r="O593" s="21">
        <v>9</v>
      </c>
      <c r="P593" s="57" t="s">
        <v>397</v>
      </c>
      <c r="Q593" s="59">
        <v>0.31</v>
      </c>
      <c r="R593" s="53">
        <f t="shared" si="41"/>
        <v>1.5736040609137057E-2</v>
      </c>
      <c r="T593" s="21">
        <v>9</v>
      </c>
      <c r="U593" s="56" t="s">
        <v>101</v>
      </c>
      <c r="V593" s="21">
        <v>0.18</v>
      </c>
      <c r="W593" s="54">
        <v>1.4500000000000001E-2</v>
      </c>
      <c r="AA593" s="21"/>
      <c r="AB593" s="21"/>
      <c r="AC593" s="21"/>
      <c r="AD593" s="21"/>
      <c r="AE593" s="53"/>
      <c r="AF593" s="53"/>
      <c r="AG593" s="53"/>
      <c r="AH593" s="15"/>
    </row>
    <row r="594" spans="2:39" ht="14" customHeight="1" x14ac:dyDescent="0.25">
      <c r="B594" s="21">
        <v>10</v>
      </c>
      <c r="C594" s="15" t="s">
        <v>370</v>
      </c>
      <c r="D594" s="50">
        <v>0.4</v>
      </c>
      <c r="E594" s="16">
        <v>1.24E-2</v>
      </c>
      <c r="F594" s="55">
        <v>3</v>
      </c>
      <c r="G594" s="55">
        <v>-0.56989247311827995</v>
      </c>
      <c r="I594" s="21"/>
      <c r="J594" s="21"/>
      <c r="K594" s="57"/>
      <c r="L594" s="56"/>
      <c r="M594" s="16"/>
      <c r="N594" s="16"/>
      <c r="O594" s="21">
        <v>10</v>
      </c>
      <c r="P594" s="57" t="s">
        <v>323</v>
      </c>
      <c r="Q594" s="58">
        <v>0.28000000000000003</v>
      </c>
      <c r="R594" s="53">
        <f t="shared" si="41"/>
        <v>1.4213197969543149E-2</v>
      </c>
      <c r="T594" s="21">
        <v>10</v>
      </c>
      <c r="U594" s="56" t="s">
        <v>370</v>
      </c>
      <c r="V594" s="49">
        <v>0.12</v>
      </c>
      <c r="W594" s="54">
        <v>9.1000000000000004E-3</v>
      </c>
      <c r="AA594" s="21"/>
      <c r="AB594" s="21"/>
      <c r="AC594" s="21"/>
      <c r="AD594" s="21"/>
      <c r="AE594" s="53"/>
      <c r="AF594" s="53"/>
      <c r="AG594" s="53"/>
      <c r="AH594" s="15"/>
    </row>
    <row r="595" spans="2:39" ht="14" customHeight="1" x14ac:dyDescent="0.25">
      <c r="B595" s="21">
        <v>11</v>
      </c>
      <c r="C595" s="21" t="s">
        <v>357</v>
      </c>
      <c r="D595" s="50">
        <v>0.36</v>
      </c>
      <c r="E595" s="16">
        <v>1.11E-2</v>
      </c>
      <c r="F595" s="55">
        <f>D595/0.15-1</f>
        <v>1.4</v>
      </c>
      <c r="G595" s="55">
        <v>-0.63636363636363602</v>
      </c>
      <c r="I595" s="21"/>
      <c r="J595" s="21"/>
      <c r="K595" s="57"/>
      <c r="L595" s="65"/>
      <c r="M595" s="16"/>
      <c r="N595" s="16"/>
      <c r="O595" s="21">
        <v>11</v>
      </c>
      <c r="P595" s="57" t="s">
        <v>326</v>
      </c>
      <c r="Q595" s="59">
        <v>0.21</v>
      </c>
      <c r="R595" s="53">
        <f t="shared" si="41"/>
        <v>1.065989847715736E-2</v>
      </c>
      <c r="T595" s="21">
        <v>11</v>
      </c>
      <c r="U595" s="56" t="s">
        <v>355</v>
      </c>
      <c r="V595" s="21">
        <v>0.02</v>
      </c>
      <c r="W595" s="54">
        <v>1.9E-3</v>
      </c>
      <c r="AA595" s="21"/>
      <c r="AB595" s="21"/>
      <c r="AC595" s="21"/>
      <c r="AD595" s="21"/>
      <c r="AE595" s="53"/>
      <c r="AF595" s="53"/>
      <c r="AG595" s="53"/>
      <c r="AH595" s="15"/>
    </row>
    <row r="596" spans="2:39" ht="14" customHeight="1" x14ac:dyDescent="0.25">
      <c r="B596" s="21">
        <v>12</v>
      </c>
      <c r="C596" s="21" t="s">
        <v>397</v>
      </c>
      <c r="D596" s="50">
        <v>0.31</v>
      </c>
      <c r="E596" s="16">
        <v>9.5999999999999992E-3</v>
      </c>
      <c r="F596" s="55"/>
      <c r="G596" s="55">
        <v>1.06666666666667</v>
      </c>
      <c r="I596" s="21"/>
      <c r="J596" s="21"/>
      <c r="K596" s="57"/>
      <c r="L596" s="65"/>
      <c r="M596" s="16"/>
      <c r="N596" s="16"/>
      <c r="O596" s="21">
        <v>12</v>
      </c>
      <c r="P596" s="57" t="s">
        <v>485</v>
      </c>
      <c r="Q596" s="59">
        <v>0.04</v>
      </c>
      <c r="R596" s="53">
        <f t="shared" si="41"/>
        <v>2.0304568527918783E-3</v>
      </c>
      <c r="T596" s="21">
        <v>12</v>
      </c>
      <c r="U596" s="56" t="s">
        <v>58</v>
      </c>
      <c r="V596" s="21">
        <v>0.02</v>
      </c>
      <c r="W596" s="54">
        <v>1.4E-3</v>
      </c>
      <c r="AA596" s="21"/>
      <c r="AB596" s="21"/>
      <c r="AC596" s="21"/>
      <c r="AD596" s="21"/>
      <c r="AE596" s="53"/>
      <c r="AF596" s="53"/>
      <c r="AG596" s="53"/>
      <c r="AH596" s="15"/>
    </row>
    <row r="597" spans="2:39" ht="14" customHeight="1" x14ac:dyDescent="0.25">
      <c r="B597" s="21">
        <v>13</v>
      </c>
      <c r="C597" s="21" t="s">
        <v>492</v>
      </c>
      <c r="D597" s="50">
        <v>0.28999999999999998</v>
      </c>
      <c r="E597" s="16">
        <v>8.9999999999999993E-3</v>
      </c>
      <c r="F597" s="55"/>
      <c r="G597" s="55">
        <v>-0.17142857142857101</v>
      </c>
      <c r="I597" s="21"/>
      <c r="J597" s="56"/>
      <c r="K597" s="57"/>
      <c r="L597" s="65"/>
      <c r="M597" s="16"/>
      <c r="N597" s="16"/>
      <c r="O597" s="21">
        <v>13</v>
      </c>
      <c r="P597" s="57" t="s">
        <v>493</v>
      </c>
      <c r="Q597" s="59">
        <v>0.03</v>
      </c>
      <c r="R597" s="53">
        <f t="shared" si="41"/>
        <v>1.5228426395939086E-3</v>
      </c>
      <c r="T597" s="21">
        <v>13</v>
      </c>
      <c r="U597" s="56" t="s">
        <v>487</v>
      </c>
      <c r="V597" s="49">
        <v>0.02</v>
      </c>
      <c r="W597" s="54">
        <v>1.1999999999999999E-3</v>
      </c>
      <c r="AA597" s="21"/>
      <c r="AB597" s="21"/>
      <c r="AC597" s="21"/>
      <c r="AD597" s="21"/>
      <c r="AE597" s="53"/>
      <c r="AF597" s="53"/>
      <c r="AG597" s="53"/>
      <c r="AH597" s="15"/>
    </row>
    <row r="598" spans="2:39" ht="14" customHeight="1" x14ac:dyDescent="0.25">
      <c r="B598" s="21">
        <v>14</v>
      </c>
      <c r="C598" s="21" t="s">
        <v>326</v>
      </c>
      <c r="D598" s="50">
        <v>0.21</v>
      </c>
      <c r="E598" s="16">
        <v>6.4999999999999997E-3</v>
      </c>
      <c r="F598" s="55">
        <f>D598/0.08-1</f>
        <v>1.625</v>
      </c>
      <c r="G598" s="55">
        <v>-0.59615384615384603</v>
      </c>
      <c r="I598" s="21"/>
      <c r="J598" s="21"/>
      <c r="K598" s="57"/>
      <c r="L598" s="65"/>
      <c r="M598" s="16"/>
      <c r="N598" s="16"/>
      <c r="O598" s="21">
        <v>14</v>
      </c>
      <c r="P598" s="57" t="s">
        <v>408</v>
      </c>
      <c r="Q598" s="59">
        <v>0.02</v>
      </c>
      <c r="R598" s="53">
        <f t="shared" si="41"/>
        <v>1.0152284263959391E-3</v>
      </c>
      <c r="T598" s="21">
        <v>14</v>
      </c>
      <c r="U598" s="56" t="s">
        <v>458</v>
      </c>
      <c r="V598" s="49">
        <v>0.01</v>
      </c>
      <c r="W598" s="54">
        <v>6.9999999999999999E-4</v>
      </c>
      <c r="AA598" s="21"/>
      <c r="AB598" s="21"/>
      <c r="AC598" s="21"/>
      <c r="AD598" s="21"/>
      <c r="AE598" s="53"/>
      <c r="AF598" s="53"/>
      <c r="AG598" s="53"/>
      <c r="AH598" s="15"/>
    </row>
    <row r="599" spans="2:39" ht="14" customHeight="1" x14ac:dyDescent="0.25">
      <c r="B599" s="21">
        <v>15</v>
      </c>
      <c r="C599" s="21" t="s">
        <v>485</v>
      </c>
      <c r="D599" s="50">
        <v>0.04</v>
      </c>
      <c r="E599" s="16">
        <v>1.1000000000000001E-3</v>
      </c>
      <c r="F599" s="55">
        <f>D599/0.05-1</f>
        <v>-0.20000000000000007</v>
      </c>
      <c r="G599" s="55"/>
      <c r="I599" s="21"/>
      <c r="J599" s="21"/>
      <c r="K599" s="57"/>
      <c r="L599" s="65"/>
      <c r="M599" s="16"/>
      <c r="N599" s="16"/>
      <c r="O599" s="21">
        <v>15</v>
      </c>
      <c r="P599" s="57" t="s">
        <v>476</v>
      </c>
      <c r="Q599" s="59">
        <v>0.01</v>
      </c>
      <c r="R599" s="53">
        <f t="shared" si="41"/>
        <v>5.0761421319796957E-4</v>
      </c>
      <c r="T599" s="21">
        <v>15</v>
      </c>
      <c r="U599" s="56" t="s">
        <v>392</v>
      </c>
      <c r="V599" s="49">
        <v>0</v>
      </c>
      <c r="W599" s="54">
        <v>2.9999999999999997E-4</v>
      </c>
      <c r="AA599" s="21"/>
      <c r="AB599" s="21"/>
      <c r="AC599" s="21"/>
      <c r="AD599" s="21"/>
      <c r="AE599" s="53"/>
      <c r="AF599" s="53"/>
      <c r="AG599" s="53"/>
      <c r="AH599" s="15"/>
    </row>
    <row r="600" spans="2:39" ht="14" customHeight="1" x14ac:dyDescent="0.25">
      <c r="B600" s="21"/>
      <c r="C600" s="21" t="s">
        <v>77</v>
      </c>
      <c r="D600" s="50">
        <f>D601-SUM(D585:D599)</f>
        <v>0.17000000000000171</v>
      </c>
      <c r="E600" s="16">
        <f>E601-SUM(E585:E599)</f>
        <v>5.2000000000002045E-3</v>
      </c>
      <c r="F600" s="52"/>
      <c r="G600" s="55">
        <f>D600/D620-1</f>
        <v>-0.57499999999997908</v>
      </c>
      <c r="I600" s="21"/>
      <c r="J600" s="21"/>
      <c r="K600" s="50"/>
      <c r="L600" s="65"/>
      <c r="M600" s="16"/>
      <c r="N600" s="16"/>
      <c r="P600" s="21" t="s">
        <v>77</v>
      </c>
      <c r="Q600" s="50">
        <f>Q601-SUM(Q585:Q599)</f>
        <v>5.0000000000000711E-2</v>
      </c>
      <c r="R600" s="53">
        <f t="shared" si="41"/>
        <v>2.5380710659898839E-3</v>
      </c>
      <c r="T600" s="56"/>
      <c r="U600" s="21" t="s">
        <v>77</v>
      </c>
      <c r="V600" s="50">
        <v>0</v>
      </c>
      <c r="W600" s="54">
        <f>V600/V$621</f>
        <v>0</v>
      </c>
    </row>
    <row r="601" spans="2:39" ht="14" customHeight="1" x14ac:dyDescent="0.25">
      <c r="B601" s="21"/>
      <c r="C601" s="21" t="s">
        <v>78</v>
      </c>
      <c r="D601" s="50">
        <v>32.299999999999997</v>
      </c>
      <c r="E601" s="16">
        <f>D601/D601</f>
        <v>1</v>
      </c>
      <c r="F601" s="52">
        <f>D601/16.133-1</f>
        <v>1.0021074815595363</v>
      </c>
      <c r="G601" s="55">
        <f>D601/D621-1</f>
        <v>-0.32567849686847605</v>
      </c>
      <c r="I601" s="21"/>
      <c r="J601" s="21"/>
      <c r="K601" s="57"/>
      <c r="L601" s="65"/>
      <c r="M601" s="16"/>
      <c r="N601" s="16"/>
      <c r="P601" s="21" t="s">
        <v>78</v>
      </c>
      <c r="Q601" s="57">
        <v>19.7</v>
      </c>
      <c r="R601" s="53">
        <f t="shared" si="41"/>
        <v>1</v>
      </c>
      <c r="S601" s="228"/>
      <c r="U601" s="21" t="s">
        <v>78</v>
      </c>
      <c r="V601" s="57">
        <v>12.6</v>
      </c>
      <c r="W601" s="65">
        <v>1</v>
      </c>
      <c r="X601" s="228"/>
    </row>
    <row r="602" spans="2:39" ht="14" customHeight="1" x14ac:dyDescent="0.25">
      <c r="C602" s="21"/>
      <c r="D602" s="50"/>
      <c r="E602" s="16"/>
      <c r="F602" s="52"/>
      <c r="G602" s="55"/>
      <c r="O602" s="25"/>
      <c r="T602" s="25"/>
      <c r="AA602" s="25"/>
      <c r="AB602" s="15"/>
      <c r="AC602" s="15"/>
      <c r="AD602" s="15"/>
      <c r="AE602" s="15"/>
      <c r="AF602" s="15"/>
      <c r="AI602" s="25"/>
      <c r="AJ602" s="15"/>
      <c r="AK602" s="15"/>
      <c r="AL602" s="15"/>
      <c r="AM602" s="15"/>
    </row>
    <row r="603" spans="2:39" ht="14" customHeight="1" x14ac:dyDescent="0.25">
      <c r="B603" s="15" t="s">
        <v>494</v>
      </c>
      <c r="C603" s="21"/>
      <c r="D603" s="50"/>
      <c r="E603" s="16"/>
      <c r="F603" s="52"/>
      <c r="G603" s="55"/>
      <c r="I603" s="15" t="s">
        <v>495</v>
      </c>
      <c r="O603" s="25" t="s">
        <v>496</v>
      </c>
      <c r="T603" s="25" t="s">
        <v>497</v>
      </c>
      <c r="AA603" s="25"/>
      <c r="AB603" s="15"/>
      <c r="AC603" s="15"/>
      <c r="AD603" s="15"/>
      <c r="AE603" s="15"/>
      <c r="AF603" s="15"/>
      <c r="AI603" s="25"/>
      <c r="AJ603" s="15"/>
      <c r="AK603" s="15"/>
      <c r="AL603" s="15"/>
      <c r="AM603" s="15"/>
    </row>
    <row r="604" spans="2:39" ht="14" customHeight="1" x14ac:dyDescent="0.25">
      <c r="B604" s="21" t="s">
        <v>334</v>
      </c>
      <c r="C604" s="21" t="s">
        <v>335</v>
      </c>
      <c r="D604" s="9" t="s">
        <v>436</v>
      </c>
      <c r="E604" s="21" t="s">
        <v>337</v>
      </c>
      <c r="F604" s="21" t="s">
        <v>423</v>
      </c>
      <c r="G604" s="21" t="s">
        <v>424</v>
      </c>
      <c r="I604" s="21" t="s">
        <v>334</v>
      </c>
      <c r="J604" s="21" t="s">
        <v>335</v>
      </c>
      <c r="K604" s="9" t="s">
        <v>437</v>
      </c>
      <c r="L604" s="21" t="s">
        <v>337</v>
      </c>
      <c r="M604" s="21" t="s">
        <v>423</v>
      </c>
      <c r="N604" s="21"/>
      <c r="O604" s="21" t="s">
        <v>334</v>
      </c>
      <c r="P604" s="21" t="s">
        <v>335</v>
      </c>
      <c r="Q604" s="50" t="s">
        <v>438</v>
      </c>
      <c r="R604" s="56" t="s">
        <v>384</v>
      </c>
      <c r="S604" s="21"/>
      <c r="T604" s="21" t="s">
        <v>334</v>
      </c>
      <c r="U604" s="56" t="s">
        <v>381</v>
      </c>
      <c r="V604" s="21" t="s">
        <v>438</v>
      </c>
      <c r="W604" s="57" t="s">
        <v>337</v>
      </c>
      <c r="X604" s="21"/>
      <c r="AA604" s="21"/>
      <c r="AB604" s="21"/>
      <c r="AC604" s="9"/>
      <c r="AD604" s="21"/>
      <c r="AE604" s="21"/>
      <c r="AF604" s="21"/>
      <c r="AI604" s="21"/>
      <c r="AJ604" s="21"/>
      <c r="AK604" s="9"/>
      <c r="AL604" s="21"/>
    </row>
    <row r="605" spans="2:39" ht="14" customHeight="1" x14ac:dyDescent="0.25">
      <c r="B605" s="21">
        <v>1</v>
      </c>
      <c r="C605" s="21" t="s">
        <v>68</v>
      </c>
      <c r="D605" s="50">
        <v>21.32</v>
      </c>
      <c r="E605" s="16">
        <v>0.44479999999999997</v>
      </c>
      <c r="F605" s="55">
        <v>0.19172722191168201</v>
      </c>
      <c r="G605" s="55">
        <f>(D605-VLOOKUP(C605,C$627:D$641,2,0))/VLOOKUP(C605,C$627:D$641,2,0)</f>
        <v>8.2233502538071115E-2</v>
      </c>
      <c r="I605" s="21">
        <v>1</v>
      </c>
      <c r="J605" s="21" t="s">
        <v>68</v>
      </c>
      <c r="K605" s="57">
        <v>167.1</v>
      </c>
      <c r="L605" s="56">
        <v>0.43109999999999998</v>
      </c>
      <c r="M605" s="16">
        <f>(167.1-142.02)/142.02</f>
        <v>0.17659484579636658</v>
      </c>
      <c r="N605" s="16"/>
      <c r="O605" s="21">
        <v>1</v>
      </c>
      <c r="P605" s="57" t="s">
        <v>69</v>
      </c>
      <c r="Q605" s="59">
        <v>105.41</v>
      </c>
      <c r="R605" s="53">
        <f>Q605/Q$621</f>
        <v>0.4038697318007663</v>
      </c>
      <c r="T605" s="21">
        <v>1</v>
      </c>
      <c r="U605" s="56" t="s">
        <v>98</v>
      </c>
      <c r="V605" s="21">
        <v>78.33</v>
      </c>
      <c r="W605" s="54">
        <v>0.62080000000000002</v>
      </c>
      <c r="AA605" s="21"/>
      <c r="AB605" s="21"/>
      <c r="AC605" s="50"/>
      <c r="AD605" s="16"/>
      <c r="AE605" s="55"/>
      <c r="AF605" s="55"/>
      <c r="AI605" s="21"/>
      <c r="AJ605" s="21"/>
      <c r="AK605" s="50"/>
      <c r="AL605" s="16"/>
    </row>
    <row r="606" spans="2:39" ht="14" customHeight="1" x14ac:dyDescent="0.25">
      <c r="B606" s="21">
        <v>2</v>
      </c>
      <c r="C606" s="21" t="s">
        <v>69</v>
      </c>
      <c r="D606" s="50">
        <v>11</v>
      </c>
      <c r="E606" s="16">
        <v>0.22950000000000001</v>
      </c>
      <c r="F606" s="55">
        <v>0.17521367521367501</v>
      </c>
      <c r="G606" s="55">
        <f t="shared" ref="G606:G619" si="42">(D606-VLOOKUP(C606,C$627:D$641,2,0))/VLOOKUP(C606,C$627:D$641,2,0)</f>
        <v>7.8431372549019676E-2</v>
      </c>
      <c r="I606" s="21">
        <v>2</v>
      </c>
      <c r="J606" s="21" t="s">
        <v>69</v>
      </c>
      <c r="K606" s="57">
        <v>105.48</v>
      </c>
      <c r="L606" s="56">
        <v>0.27210000000000001</v>
      </c>
      <c r="M606" s="16">
        <f>(105.48-69.1)/69.1</f>
        <v>0.52648335745296693</v>
      </c>
      <c r="N606" s="16"/>
      <c r="O606" s="21">
        <v>2</v>
      </c>
      <c r="P606" s="57" t="s">
        <v>68</v>
      </c>
      <c r="Q606" s="59">
        <v>88.77</v>
      </c>
      <c r="R606" s="53">
        <f t="shared" ref="R606:R620" si="43">Q606/Q$621</f>
        <v>0.34011494252873564</v>
      </c>
      <c r="T606" s="21">
        <v>2</v>
      </c>
      <c r="U606" s="56" t="s">
        <v>100</v>
      </c>
      <c r="V606" s="21">
        <v>15.02</v>
      </c>
      <c r="W606" s="54">
        <f t="shared" ref="W606:W620" si="44">V606/V$621</f>
        <v>0.1190174326465927</v>
      </c>
      <c r="AA606" s="21"/>
      <c r="AB606" s="21"/>
      <c r="AC606" s="50"/>
      <c r="AD606" s="16"/>
      <c r="AE606" s="55"/>
      <c r="AF606" s="55"/>
      <c r="AI606" s="21"/>
      <c r="AJ606" s="21"/>
      <c r="AK606" s="50"/>
      <c r="AL606" s="16"/>
    </row>
    <row r="607" spans="2:39" ht="14" customHeight="1" x14ac:dyDescent="0.25">
      <c r="B607" s="21">
        <v>3</v>
      </c>
      <c r="C607" s="21" t="s">
        <v>71</v>
      </c>
      <c r="D607" s="50">
        <v>3.06</v>
      </c>
      <c r="E607" s="16">
        <v>6.3899999999999998E-2</v>
      </c>
      <c r="F607" s="55">
        <v>0.65405405405405403</v>
      </c>
      <c r="G607" s="55">
        <f t="shared" si="42"/>
        <v>-5.5555555555555601E-2</v>
      </c>
      <c r="I607" s="21">
        <v>3</v>
      </c>
      <c r="J607" s="21" t="s">
        <v>71</v>
      </c>
      <c r="K607" s="57">
        <v>32.9</v>
      </c>
      <c r="L607" s="56">
        <v>8.4900000000000003E-2</v>
      </c>
      <c r="M607" s="16">
        <f>(32.9-19.24)/19.24</f>
        <v>0.70997920997921005</v>
      </c>
      <c r="N607" s="16"/>
      <c r="O607" s="21">
        <v>3</v>
      </c>
      <c r="P607" s="57" t="s">
        <v>71</v>
      </c>
      <c r="Q607" s="58">
        <v>17.88</v>
      </c>
      <c r="R607" s="53">
        <f t="shared" si="43"/>
        <v>6.8505747126436783E-2</v>
      </c>
      <c r="T607" s="21">
        <v>3</v>
      </c>
      <c r="U607" s="21" t="s">
        <v>127</v>
      </c>
      <c r="V607" s="21">
        <v>8.34</v>
      </c>
      <c r="W607" s="54">
        <f t="shared" si="44"/>
        <v>6.6085578446909668E-2</v>
      </c>
      <c r="AA607" s="21"/>
      <c r="AB607" s="21"/>
      <c r="AC607" s="50"/>
      <c r="AD607" s="16"/>
      <c r="AE607" s="55"/>
      <c r="AF607" s="55"/>
      <c r="AI607" s="21"/>
      <c r="AJ607" s="21"/>
      <c r="AK607" s="50"/>
      <c r="AL607" s="16"/>
    </row>
    <row r="608" spans="2:39" ht="14" customHeight="1" x14ac:dyDescent="0.25">
      <c r="B608" s="21">
        <v>4</v>
      </c>
      <c r="C608" s="21" t="s">
        <v>73</v>
      </c>
      <c r="D608" s="50">
        <v>2.17</v>
      </c>
      <c r="E608" s="16">
        <v>4.5400000000000003E-2</v>
      </c>
      <c r="F608" s="55">
        <v>0.70866141732283505</v>
      </c>
      <c r="G608" s="55">
        <f t="shared" si="42"/>
        <v>5.8536585365853717E-2</v>
      </c>
      <c r="I608" s="21">
        <v>4</v>
      </c>
      <c r="J608" s="21" t="s">
        <v>73</v>
      </c>
      <c r="K608" s="57">
        <v>17.260000000000002</v>
      </c>
      <c r="L608" s="56">
        <v>4.4499999999999998E-2</v>
      </c>
      <c r="M608" s="16">
        <f>(17.26-7.18)/7.18</f>
        <v>1.4038997214484683</v>
      </c>
      <c r="N608" s="16"/>
      <c r="O608" s="21">
        <v>4</v>
      </c>
      <c r="P608" s="57" t="s">
        <v>70</v>
      </c>
      <c r="Q608" s="59">
        <v>14.71</v>
      </c>
      <c r="R608" s="53">
        <f t="shared" si="43"/>
        <v>5.6360153256704987E-2</v>
      </c>
      <c r="T608" s="21">
        <v>4</v>
      </c>
      <c r="U608" s="56" t="s">
        <v>185</v>
      </c>
      <c r="V608" s="21">
        <v>5.94</v>
      </c>
      <c r="W608" s="54">
        <f t="shared" si="44"/>
        <v>4.7068145800316957E-2</v>
      </c>
      <c r="AA608" s="21"/>
      <c r="AB608" s="21"/>
      <c r="AC608" s="50"/>
      <c r="AD608" s="16"/>
      <c r="AE608" s="55"/>
      <c r="AF608" s="55"/>
      <c r="AI608" s="21"/>
      <c r="AJ608" s="21"/>
      <c r="AK608" s="50"/>
      <c r="AL608" s="16"/>
    </row>
    <row r="609" spans="2:39" ht="14" customHeight="1" x14ac:dyDescent="0.25">
      <c r="B609" s="21">
        <v>5</v>
      </c>
      <c r="C609" s="21" t="s">
        <v>70</v>
      </c>
      <c r="D609" s="50">
        <v>2.02</v>
      </c>
      <c r="E609" s="16">
        <v>4.2200000000000001E-2</v>
      </c>
      <c r="F609" s="55">
        <v>0.54198473282442705</v>
      </c>
      <c r="G609" s="55">
        <f t="shared" si="42"/>
        <v>-4.2654028436018891E-2</v>
      </c>
      <c r="I609" s="21">
        <v>5</v>
      </c>
      <c r="J609" s="21" t="s">
        <v>70</v>
      </c>
      <c r="K609" s="57">
        <v>15.91</v>
      </c>
      <c r="L609" s="56">
        <v>4.1000000000000002E-2</v>
      </c>
      <c r="M609" s="16">
        <f>(15.91-13.33)/13.33</f>
        <v>0.19354838709677419</v>
      </c>
      <c r="N609" s="16"/>
      <c r="O609" s="21">
        <v>5</v>
      </c>
      <c r="P609" s="57" t="s">
        <v>73</v>
      </c>
      <c r="Q609" s="59">
        <v>14.2</v>
      </c>
      <c r="R609" s="53">
        <f t="shared" si="43"/>
        <v>5.4406130268199231E-2</v>
      </c>
      <c r="T609" s="21">
        <v>5</v>
      </c>
      <c r="U609" s="56" t="s">
        <v>104</v>
      </c>
      <c r="V609" s="21">
        <v>4.92</v>
      </c>
      <c r="W609" s="54">
        <f t="shared" si="44"/>
        <v>3.8985736925515053E-2</v>
      </c>
      <c r="AA609" s="21"/>
      <c r="AB609" s="21"/>
      <c r="AC609" s="50"/>
      <c r="AD609" s="16"/>
      <c r="AE609" s="55"/>
      <c r="AF609" s="55"/>
      <c r="AI609" s="21"/>
      <c r="AJ609" s="21"/>
      <c r="AK609" s="50"/>
      <c r="AL609" s="16"/>
    </row>
    <row r="610" spans="2:39" ht="14" customHeight="1" x14ac:dyDescent="0.25">
      <c r="B610" s="21">
        <v>6</v>
      </c>
      <c r="C610" s="21" t="s">
        <v>74</v>
      </c>
      <c r="D610" s="50">
        <v>1.51</v>
      </c>
      <c r="E610" s="16">
        <v>3.15E-2</v>
      </c>
      <c r="F610" s="55">
        <f>D610/0.46-1</f>
        <v>2.2826086956521738</v>
      </c>
      <c r="G610" s="55">
        <f>(D610-D633)/D633</f>
        <v>8.6330935251798649E-2</v>
      </c>
      <c r="I610" s="21">
        <v>6</v>
      </c>
      <c r="J610" s="21" t="s">
        <v>74</v>
      </c>
      <c r="K610" s="57">
        <v>8.69</v>
      </c>
      <c r="L610" s="56">
        <v>2.24E-2</v>
      </c>
      <c r="M610" s="16">
        <f>(8.69-6.1)/6.1</f>
        <v>0.42459016393442622</v>
      </c>
      <c r="N610" s="16"/>
      <c r="O610" s="21">
        <v>6</v>
      </c>
      <c r="P610" s="57" t="s">
        <v>322</v>
      </c>
      <c r="Q610" s="59">
        <v>4.6900000000000004</v>
      </c>
      <c r="R610" s="53">
        <f t="shared" si="43"/>
        <v>1.7969348659003834E-2</v>
      </c>
      <c r="T610" s="21">
        <v>6</v>
      </c>
      <c r="U610" s="56" t="s">
        <v>181</v>
      </c>
      <c r="V610" s="21">
        <v>4.8499999999999996</v>
      </c>
      <c r="W610" s="54">
        <v>3.85E-2</v>
      </c>
      <c r="AA610" s="21"/>
      <c r="AB610" s="21"/>
      <c r="AC610" s="50"/>
      <c r="AD610" s="16"/>
      <c r="AE610" s="52"/>
      <c r="AF610" s="55"/>
      <c r="AI610" s="21"/>
      <c r="AJ610" s="21"/>
      <c r="AK610" s="50"/>
      <c r="AL610" s="16"/>
      <c r="AM610" s="52"/>
    </row>
    <row r="611" spans="2:39" ht="14" customHeight="1" x14ac:dyDescent="0.25">
      <c r="B611" s="21">
        <v>7</v>
      </c>
      <c r="C611" s="21" t="s">
        <v>127</v>
      </c>
      <c r="D611" s="50">
        <v>1.19</v>
      </c>
      <c r="E611" s="16">
        <v>2.4799999999999999E-2</v>
      </c>
      <c r="F611" s="55">
        <v>3.76</v>
      </c>
      <c r="G611" s="55">
        <f t="shared" si="42"/>
        <v>-0.27878787878787881</v>
      </c>
      <c r="I611" s="21">
        <v>7</v>
      </c>
      <c r="J611" s="21" t="s">
        <v>127</v>
      </c>
      <c r="K611" s="57">
        <v>8.34</v>
      </c>
      <c r="L611" s="56">
        <v>2.1499999999999998E-2</v>
      </c>
      <c r="M611" s="16">
        <f>(8.34-5.2)/5.2</f>
        <v>0.60384615384615381</v>
      </c>
      <c r="N611" s="16"/>
      <c r="O611" s="21">
        <v>7</v>
      </c>
      <c r="P611" s="57" t="s">
        <v>323</v>
      </c>
      <c r="Q611" s="59">
        <v>4.07</v>
      </c>
      <c r="R611" s="53">
        <f t="shared" si="43"/>
        <v>1.5593869731800767E-2</v>
      </c>
      <c r="T611" s="21">
        <v>7</v>
      </c>
      <c r="U611" s="56" t="s">
        <v>103</v>
      </c>
      <c r="V611" s="49">
        <v>3.06</v>
      </c>
      <c r="W611" s="54">
        <f t="shared" si="44"/>
        <v>2.4247226624405704E-2</v>
      </c>
      <c r="AA611" s="21"/>
      <c r="AB611" s="21"/>
      <c r="AC611" s="50"/>
      <c r="AD611" s="16"/>
      <c r="AE611" s="52"/>
      <c r="AF611" s="55"/>
      <c r="AI611" s="21"/>
      <c r="AJ611" s="21"/>
      <c r="AK611" s="50"/>
      <c r="AL611" s="16"/>
      <c r="AM611" s="52"/>
    </row>
    <row r="612" spans="2:39" ht="14" customHeight="1" x14ac:dyDescent="0.25">
      <c r="B612" s="21">
        <v>8</v>
      </c>
      <c r="C612" s="21" t="s">
        <v>322</v>
      </c>
      <c r="D612" s="50">
        <v>1.1299999999999999</v>
      </c>
      <c r="E612" s="16">
        <v>2.3599999999999999E-2</v>
      </c>
      <c r="F612" s="55">
        <f>D612/0.48-1</f>
        <v>1.3541666666666665</v>
      </c>
      <c r="G612" s="55">
        <f>(D612-D636)/D636</f>
        <v>0.34523809523809518</v>
      </c>
      <c r="I612" s="21">
        <v>8</v>
      </c>
      <c r="J612" s="21" t="s">
        <v>129</v>
      </c>
      <c r="K612" s="57">
        <v>8.3000000000000007</v>
      </c>
      <c r="L612" s="56">
        <v>2.1399999999999999E-2</v>
      </c>
      <c r="M612" s="16">
        <f>(8.3-7.73)/7.73</f>
        <v>7.3738680465718021E-2</v>
      </c>
      <c r="N612" s="16"/>
      <c r="O612" s="21">
        <v>8</v>
      </c>
      <c r="P612" s="57" t="s">
        <v>74</v>
      </c>
      <c r="Q612" s="58">
        <v>3.76</v>
      </c>
      <c r="R612" s="53">
        <f t="shared" si="43"/>
        <v>1.4406130268199233E-2</v>
      </c>
      <c r="T612" s="21">
        <v>8</v>
      </c>
      <c r="U612" s="56" t="s">
        <v>370</v>
      </c>
      <c r="V612" s="21">
        <v>1.32</v>
      </c>
      <c r="W612" s="54">
        <f t="shared" si="44"/>
        <v>1.0459587955625991E-2</v>
      </c>
      <c r="AA612" s="21"/>
      <c r="AB612" s="21"/>
      <c r="AC612" s="21"/>
      <c r="AD612" s="21"/>
      <c r="AE612" s="53"/>
      <c r="AF612" s="53"/>
      <c r="AG612" s="53"/>
      <c r="AH612" s="15"/>
    </row>
    <row r="613" spans="2:39" ht="14" customHeight="1" x14ac:dyDescent="0.25">
      <c r="B613" s="21">
        <v>9</v>
      </c>
      <c r="C613" s="21" t="s">
        <v>129</v>
      </c>
      <c r="D613" s="50">
        <v>1.06</v>
      </c>
      <c r="E613" s="16">
        <v>2.2100000000000002E-2</v>
      </c>
      <c r="F613" s="55">
        <v>-0.24285714285714299</v>
      </c>
      <c r="G613" s="55">
        <f t="shared" si="42"/>
        <v>0.13978494623655913</v>
      </c>
      <c r="I613" s="21">
        <v>9</v>
      </c>
      <c r="J613" s="15" t="s">
        <v>185</v>
      </c>
      <c r="K613" s="57">
        <v>5.94</v>
      </c>
      <c r="L613" s="56">
        <v>1.5299999999999999E-2</v>
      </c>
      <c r="M613" s="16">
        <f>(5.94-5.36)/5.36</f>
        <v>0.1082089552238806</v>
      </c>
      <c r="N613" s="16"/>
      <c r="O613" s="21">
        <v>9</v>
      </c>
      <c r="P613" s="57" t="s">
        <v>129</v>
      </c>
      <c r="Q613" s="59">
        <v>3.45</v>
      </c>
      <c r="R613" s="53">
        <f t="shared" si="43"/>
        <v>1.3218390804597701E-2</v>
      </c>
      <c r="T613" s="21">
        <v>9</v>
      </c>
      <c r="U613" s="56" t="s">
        <v>101</v>
      </c>
      <c r="V613" s="21">
        <v>1.2</v>
      </c>
      <c r="W613" s="54">
        <f t="shared" si="44"/>
        <v>9.5087163232963536E-3</v>
      </c>
      <c r="AA613" s="21"/>
      <c r="AB613" s="21"/>
      <c r="AC613" s="21"/>
      <c r="AD613" s="21"/>
      <c r="AE613" s="53"/>
      <c r="AF613" s="53"/>
      <c r="AG613" s="53"/>
      <c r="AH613" s="15"/>
    </row>
    <row r="614" spans="2:39" ht="14" customHeight="1" x14ac:dyDescent="0.25">
      <c r="B614" s="21">
        <v>10</v>
      </c>
      <c r="C614" s="15" t="s">
        <v>185</v>
      </c>
      <c r="D614" s="50">
        <v>0.99</v>
      </c>
      <c r="E614" s="16">
        <v>2.06E-2</v>
      </c>
      <c r="F614" s="55">
        <v>0.269230769230769</v>
      </c>
      <c r="G614" s="55">
        <f t="shared" si="42"/>
        <v>-7.476635514018698E-2</v>
      </c>
      <c r="I614" s="21">
        <v>10</v>
      </c>
      <c r="J614" s="21" t="s">
        <v>323</v>
      </c>
      <c r="K614" s="57">
        <v>5.39</v>
      </c>
      <c r="L614" s="56">
        <v>1.3899999999999999E-2</v>
      </c>
      <c r="M614" s="16">
        <f>(5.39-2.36)/2.36</f>
        <v>1.2838983050847457</v>
      </c>
      <c r="N614" s="16"/>
      <c r="O614" s="21">
        <v>10</v>
      </c>
      <c r="P614" s="57" t="s">
        <v>326</v>
      </c>
      <c r="Q614" s="58">
        <v>2.0499999999999998</v>
      </c>
      <c r="R614" s="53">
        <f t="shared" si="43"/>
        <v>7.8544061302681985E-3</v>
      </c>
      <c r="T614" s="21">
        <v>10</v>
      </c>
      <c r="U614" s="56" t="s">
        <v>392</v>
      </c>
      <c r="V614" s="49">
        <v>0.86</v>
      </c>
      <c r="W614" s="54">
        <f t="shared" si="44"/>
        <v>6.8145800316957205E-3</v>
      </c>
      <c r="AA614" s="21"/>
      <c r="AB614" s="21"/>
      <c r="AC614" s="21"/>
      <c r="AD614" s="21"/>
      <c r="AE614" s="53"/>
      <c r="AF614" s="53"/>
      <c r="AG614" s="53"/>
      <c r="AH614" s="15"/>
    </row>
    <row r="615" spans="2:39" ht="14" customHeight="1" x14ac:dyDescent="0.25">
      <c r="B615" s="21">
        <v>11</v>
      </c>
      <c r="C615" s="21" t="s">
        <v>323</v>
      </c>
      <c r="D615" s="50">
        <v>0.93</v>
      </c>
      <c r="E615" s="16">
        <v>1.9300000000000001E-2</v>
      </c>
      <c r="F615" s="55">
        <v>9.3333333333333304</v>
      </c>
      <c r="G615" s="55">
        <f t="shared" si="42"/>
        <v>0.30985915492957761</v>
      </c>
      <c r="I615" s="21">
        <v>11</v>
      </c>
      <c r="J615" s="21" t="s">
        <v>322</v>
      </c>
      <c r="K615" s="57">
        <v>5.12</v>
      </c>
      <c r="L615" s="65">
        <v>1.32E-2</v>
      </c>
      <c r="M615" s="16">
        <f>(5.12-4.52)/4.52</f>
        <v>0.13274336283185853</v>
      </c>
      <c r="N615" s="16"/>
      <c r="O615" s="21">
        <v>11</v>
      </c>
      <c r="P615" s="57" t="s">
        <v>408</v>
      </c>
      <c r="Q615" s="59">
        <v>0.4</v>
      </c>
      <c r="R615" s="53">
        <f t="shared" si="43"/>
        <v>1.5325670498084292E-3</v>
      </c>
      <c r="T615" s="21">
        <v>11</v>
      </c>
      <c r="U615" s="56" t="s">
        <v>498</v>
      </c>
      <c r="V615" s="21">
        <v>0.8</v>
      </c>
      <c r="W615" s="54">
        <f t="shared" si="44"/>
        <v>6.3391442155309036E-3</v>
      </c>
      <c r="AA615" s="21"/>
      <c r="AB615" s="21"/>
      <c r="AC615" s="21"/>
      <c r="AD615" s="21"/>
      <c r="AE615" s="53"/>
      <c r="AF615" s="53"/>
      <c r="AG615" s="53"/>
      <c r="AH615" s="15"/>
    </row>
    <row r="616" spans="2:39" ht="14" customHeight="1" x14ac:dyDescent="0.25">
      <c r="B616" s="21">
        <v>12</v>
      </c>
      <c r="C616" s="21" t="s">
        <v>326</v>
      </c>
      <c r="D616" s="50">
        <v>0.52</v>
      </c>
      <c r="E616" s="16">
        <v>1.09E-2</v>
      </c>
      <c r="F616" s="55"/>
      <c r="G616" s="55">
        <f t="shared" si="42"/>
        <v>1.3636363636363638</v>
      </c>
      <c r="I616" s="21">
        <v>12</v>
      </c>
      <c r="J616" s="21" t="s">
        <v>326</v>
      </c>
      <c r="K616" s="57">
        <v>2.14</v>
      </c>
      <c r="L616" s="65">
        <v>5.4999999999999997E-3</v>
      </c>
      <c r="M616" s="16">
        <f>(2.14-1.76)/1.76</f>
        <v>0.21590909090909097</v>
      </c>
      <c r="N616" s="16"/>
      <c r="O616" s="21">
        <v>12</v>
      </c>
      <c r="P616" s="57" t="s">
        <v>476</v>
      </c>
      <c r="Q616" s="59">
        <v>0.31</v>
      </c>
      <c r="R616" s="53">
        <f t="shared" si="43"/>
        <v>1.1877394636015325E-3</v>
      </c>
      <c r="T616" s="21">
        <v>12</v>
      </c>
      <c r="U616" s="56" t="s">
        <v>369</v>
      </c>
      <c r="V616" s="21">
        <v>0.43</v>
      </c>
      <c r="W616" s="54">
        <f t="shared" si="44"/>
        <v>3.4072900158478602E-3</v>
      </c>
      <c r="AA616" s="21"/>
      <c r="AB616" s="21"/>
      <c r="AC616" s="21"/>
      <c r="AD616" s="21"/>
      <c r="AE616" s="53"/>
      <c r="AF616" s="53"/>
      <c r="AG616" s="53"/>
      <c r="AH616" s="15"/>
    </row>
    <row r="617" spans="2:39" ht="14" customHeight="1" x14ac:dyDescent="0.25">
      <c r="B617" s="21">
        <v>13</v>
      </c>
      <c r="C617" s="21" t="s">
        <v>499</v>
      </c>
      <c r="D617" s="50">
        <v>0.35</v>
      </c>
      <c r="E617" s="16">
        <v>7.3000000000000001E-3</v>
      </c>
      <c r="F617" s="55"/>
      <c r="G617" s="55">
        <f>D617/D638-1</f>
        <v>-0.14634146341463417</v>
      </c>
      <c r="I617" s="21">
        <v>13</v>
      </c>
      <c r="J617" s="56" t="s">
        <v>392</v>
      </c>
      <c r="K617" s="57">
        <v>0.91</v>
      </c>
      <c r="L617" s="65">
        <v>2.3999999999999998E-3</v>
      </c>
      <c r="M617" s="16">
        <f>(0.91-2.43)/2.43</f>
        <v>-0.625514403292181</v>
      </c>
      <c r="N617" s="16"/>
      <c r="O617" s="21">
        <v>13</v>
      </c>
      <c r="P617" s="57" t="s">
        <v>485</v>
      </c>
      <c r="Q617" s="59">
        <v>0.3</v>
      </c>
      <c r="R617" s="53">
        <f t="shared" si="43"/>
        <v>1.1494252873563218E-3</v>
      </c>
      <c r="T617" s="21">
        <v>13</v>
      </c>
      <c r="U617" s="56" t="s">
        <v>58</v>
      </c>
      <c r="V617" s="49">
        <v>0.35</v>
      </c>
      <c r="W617" s="54">
        <f t="shared" si="44"/>
        <v>2.7733755942947699E-3</v>
      </c>
      <c r="AA617" s="21"/>
      <c r="AB617" s="21"/>
      <c r="AC617" s="21"/>
      <c r="AD617" s="21"/>
      <c r="AE617" s="53"/>
      <c r="AF617" s="53"/>
      <c r="AG617" s="53"/>
      <c r="AH617" s="15"/>
    </row>
    <row r="618" spans="2:39" ht="14" customHeight="1" x14ac:dyDescent="0.25">
      <c r="B618" s="21">
        <v>14</v>
      </c>
      <c r="C618" s="21" t="s">
        <v>397</v>
      </c>
      <c r="D618" s="50">
        <v>0.15</v>
      </c>
      <c r="E618" s="16">
        <v>3.2000000000000002E-3</v>
      </c>
      <c r="F618" s="55"/>
      <c r="G618" s="55"/>
      <c r="I618" s="21">
        <v>14</v>
      </c>
      <c r="J618" s="21" t="s">
        <v>499</v>
      </c>
      <c r="K618" s="57">
        <v>0.8</v>
      </c>
      <c r="L618" s="65">
        <v>2.0999999999999999E-3</v>
      </c>
      <c r="M618" s="16"/>
      <c r="N618" s="16"/>
      <c r="O618" s="21">
        <v>14</v>
      </c>
      <c r="P618" s="57" t="s">
        <v>426</v>
      </c>
      <c r="Q618" s="59">
        <v>0.21</v>
      </c>
      <c r="R618" s="53">
        <f t="shared" si="43"/>
        <v>8.045977011494253E-4</v>
      </c>
      <c r="T618" s="21">
        <v>14</v>
      </c>
      <c r="U618" s="56" t="s">
        <v>399</v>
      </c>
      <c r="V618" s="49">
        <v>0.12</v>
      </c>
      <c r="W618" s="54">
        <f t="shared" si="44"/>
        <v>9.5087163232963543E-4</v>
      </c>
      <c r="AA618" s="21"/>
      <c r="AB618" s="21"/>
      <c r="AC618" s="21"/>
      <c r="AD618" s="21"/>
      <c r="AE618" s="53"/>
      <c r="AF618" s="53"/>
      <c r="AG618" s="53"/>
      <c r="AH618" s="15"/>
    </row>
    <row r="619" spans="2:39" ht="14" customHeight="1" x14ac:dyDescent="0.25">
      <c r="B619" s="21">
        <v>15</v>
      </c>
      <c r="C619" s="21" t="s">
        <v>342</v>
      </c>
      <c r="D619" s="50">
        <v>0.1</v>
      </c>
      <c r="E619" s="16">
        <v>2.2000000000000001E-3</v>
      </c>
      <c r="F619" s="55"/>
      <c r="G619" s="55">
        <f t="shared" si="42"/>
        <v>1</v>
      </c>
      <c r="I619" s="21">
        <v>15</v>
      </c>
      <c r="J619" s="21" t="s">
        <v>408</v>
      </c>
      <c r="K619" s="57">
        <v>0.4</v>
      </c>
      <c r="L619" s="65">
        <v>1E-3</v>
      </c>
      <c r="M619" s="16"/>
      <c r="N619" s="16"/>
      <c r="O619" s="21">
        <v>15</v>
      </c>
      <c r="P619" s="57" t="s">
        <v>397</v>
      </c>
      <c r="Q619" s="59">
        <v>0.18</v>
      </c>
      <c r="R619" s="53">
        <f t="shared" si="43"/>
        <v>6.8965517241379305E-4</v>
      </c>
      <c r="T619" s="21">
        <v>15</v>
      </c>
      <c r="U619" s="56" t="s">
        <v>355</v>
      </c>
      <c r="V619" s="21">
        <v>0.1</v>
      </c>
      <c r="W619" s="54">
        <f t="shared" si="44"/>
        <v>7.9239302694136295E-4</v>
      </c>
      <c r="AA619" s="21"/>
      <c r="AB619" s="21"/>
      <c r="AC619" s="21"/>
      <c r="AD619" s="21"/>
      <c r="AE619" s="53"/>
      <c r="AF619" s="53"/>
      <c r="AG619" s="53"/>
      <c r="AH619" s="15"/>
    </row>
    <row r="620" spans="2:39" ht="14" customHeight="1" x14ac:dyDescent="0.25">
      <c r="B620" s="21"/>
      <c r="C620" s="21" t="s">
        <v>77</v>
      </c>
      <c r="D620" s="50">
        <f>D621-SUM(D605:D619)</f>
        <v>0.39999999999998437</v>
      </c>
      <c r="E620" s="16">
        <v>5.0000000000000001E-3</v>
      </c>
      <c r="F620" s="52"/>
      <c r="G620" s="55">
        <f>D620/D642-1</f>
        <v>0.53846153846144817</v>
      </c>
      <c r="I620" s="21"/>
      <c r="J620" s="21" t="s">
        <v>77</v>
      </c>
      <c r="K620" s="50">
        <f>K621-SUM(K605:K619)</f>
        <v>3.0200000000000387</v>
      </c>
      <c r="L620" s="65">
        <f>L621-SUM(L605:L619)</f>
        <v>7.7000000000001512E-3</v>
      </c>
      <c r="M620" s="16"/>
      <c r="N620" s="16"/>
      <c r="P620" s="21" t="s">
        <v>77</v>
      </c>
      <c r="Q620" s="50">
        <f>Q621-SUM(Q605:Q619)</f>
        <v>0.61000000000001364</v>
      </c>
      <c r="R620" s="53">
        <f t="shared" si="43"/>
        <v>2.3371647509579066E-3</v>
      </c>
      <c r="T620" s="56"/>
      <c r="U620" s="21" t="s">
        <v>77</v>
      </c>
      <c r="V620" s="50">
        <f>V621-SUM(V605:V619)</f>
        <v>0.56000000000001648</v>
      </c>
      <c r="W620" s="54">
        <f t="shared" si="44"/>
        <v>4.4374009508717626E-3</v>
      </c>
    </row>
    <row r="621" spans="2:39" ht="14" customHeight="1" x14ac:dyDescent="0.25">
      <c r="B621" s="21"/>
      <c r="C621" s="21" t="s">
        <v>78</v>
      </c>
      <c r="D621" s="50">
        <v>47.9</v>
      </c>
      <c r="E621" s="16">
        <f>D621/D621</f>
        <v>1</v>
      </c>
      <c r="F621" s="52">
        <v>0.32600000000000001</v>
      </c>
      <c r="G621" s="55">
        <f>D621/D643-1</f>
        <v>6.6815144766146917E-2</v>
      </c>
      <c r="I621" s="21"/>
      <c r="J621" s="21" t="s">
        <v>78</v>
      </c>
      <c r="K621" s="57">
        <v>387.7</v>
      </c>
      <c r="L621" s="65">
        <v>1</v>
      </c>
      <c r="M621" s="16"/>
      <c r="N621" s="16"/>
      <c r="P621" s="21" t="s">
        <v>78</v>
      </c>
      <c r="Q621" s="57">
        <v>261</v>
      </c>
      <c r="R621" s="65">
        <v>1</v>
      </c>
      <c r="S621" s="228"/>
      <c r="U621" s="21" t="s">
        <v>78</v>
      </c>
      <c r="V621" s="57">
        <v>126.2</v>
      </c>
      <c r="W621" s="65">
        <v>1</v>
      </c>
      <c r="X621" s="228"/>
    </row>
    <row r="622" spans="2:39" ht="14" customHeight="1" x14ac:dyDescent="0.25">
      <c r="D622" s="43"/>
      <c r="J622" s="43"/>
      <c r="O622" s="227"/>
      <c r="X622" s="227"/>
    </row>
    <row r="623" spans="2:39" ht="14" customHeight="1" x14ac:dyDescent="0.25">
      <c r="D623" s="43"/>
      <c r="J623" s="43"/>
      <c r="O623" s="227"/>
      <c r="X623" s="227"/>
    </row>
    <row r="624" spans="2:39" ht="14" customHeight="1" x14ac:dyDescent="0.25">
      <c r="D624" s="43"/>
      <c r="J624" s="43"/>
      <c r="O624" s="227"/>
      <c r="X624" s="227"/>
    </row>
    <row r="625" spans="2:39" ht="14" customHeight="1" x14ac:dyDescent="0.25">
      <c r="B625" s="15" t="s">
        <v>500</v>
      </c>
      <c r="C625" s="21"/>
      <c r="D625" s="50"/>
      <c r="E625" s="16"/>
      <c r="F625" s="52"/>
      <c r="G625" s="55"/>
      <c r="I625" s="15" t="s">
        <v>501</v>
      </c>
      <c r="O625" s="25" t="s">
        <v>502</v>
      </c>
      <c r="T625" s="25" t="s">
        <v>503</v>
      </c>
      <c r="AA625" s="25"/>
      <c r="AB625" s="15"/>
      <c r="AC625" s="15"/>
      <c r="AD625" s="15"/>
      <c r="AE625" s="15"/>
      <c r="AF625" s="15"/>
      <c r="AI625" s="25"/>
      <c r="AJ625" s="15"/>
      <c r="AK625" s="15"/>
      <c r="AL625" s="15"/>
      <c r="AM625" s="15"/>
    </row>
    <row r="626" spans="2:39" ht="14" customHeight="1" x14ac:dyDescent="0.25">
      <c r="B626" s="21" t="s">
        <v>334</v>
      </c>
      <c r="C626" s="21" t="s">
        <v>335</v>
      </c>
      <c r="D626" s="9" t="s">
        <v>436</v>
      </c>
      <c r="E626" s="21" t="s">
        <v>337</v>
      </c>
      <c r="F626" s="21" t="s">
        <v>423</v>
      </c>
      <c r="G626" s="21" t="s">
        <v>424</v>
      </c>
      <c r="I626" s="21" t="s">
        <v>334</v>
      </c>
      <c r="J626" s="21" t="s">
        <v>335</v>
      </c>
      <c r="K626" s="9" t="s">
        <v>437</v>
      </c>
      <c r="L626" s="21" t="s">
        <v>337</v>
      </c>
      <c r="M626" s="21" t="s">
        <v>423</v>
      </c>
      <c r="N626" s="21"/>
      <c r="O626" s="21" t="s">
        <v>334</v>
      </c>
      <c r="P626" s="21" t="s">
        <v>335</v>
      </c>
      <c r="Q626" s="50" t="s">
        <v>438</v>
      </c>
      <c r="R626" s="56" t="s">
        <v>384</v>
      </c>
      <c r="S626" s="21"/>
      <c r="T626" s="21" t="s">
        <v>334</v>
      </c>
      <c r="U626" s="56" t="s">
        <v>381</v>
      </c>
      <c r="V626" s="21" t="s">
        <v>438</v>
      </c>
      <c r="W626" s="57" t="s">
        <v>337</v>
      </c>
      <c r="X626" s="21"/>
      <c r="AA626" s="21"/>
      <c r="AB626" s="21"/>
      <c r="AC626" s="9"/>
      <c r="AD626" s="21"/>
      <c r="AE626" s="21"/>
      <c r="AF626" s="21"/>
      <c r="AI626" s="21"/>
      <c r="AJ626" s="21"/>
      <c r="AK626" s="9"/>
      <c r="AL626" s="21"/>
    </row>
    <row r="627" spans="2:39" ht="14" customHeight="1" x14ac:dyDescent="0.25">
      <c r="B627" s="21">
        <v>1</v>
      </c>
      <c r="C627" s="21" t="s">
        <v>68</v>
      </c>
      <c r="D627" s="50">
        <v>19.7</v>
      </c>
      <c r="E627" s="16">
        <v>0.43909999999999999</v>
      </c>
      <c r="F627" s="55">
        <f>D627/D886-1</f>
        <v>0.13544668587896247</v>
      </c>
      <c r="G627" s="55">
        <f>(D627-D649)/D649</f>
        <v>0.17401668653158509</v>
      </c>
      <c r="I627" s="21">
        <v>1</v>
      </c>
      <c r="J627" s="21" t="s">
        <v>68</v>
      </c>
      <c r="K627" s="57">
        <v>145.78</v>
      </c>
      <c r="L627" s="56">
        <v>0.42909999999999998</v>
      </c>
      <c r="M627" s="16">
        <f>K627/K886-1</f>
        <v>0.17441392088939023</v>
      </c>
      <c r="N627" s="16"/>
      <c r="O627" s="21">
        <v>1</v>
      </c>
      <c r="P627" s="57" t="s">
        <v>69</v>
      </c>
      <c r="Q627" s="59">
        <v>94.45</v>
      </c>
      <c r="R627" s="53">
        <v>0.41110000000000002</v>
      </c>
      <c r="T627" s="21">
        <v>1</v>
      </c>
      <c r="U627" s="56" t="s">
        <v>98</v>
      </c>
      <c r="V627" s="21">
        <v>67.98</v>
      </c>
      <c r="W627" s="54">
        <v>0.62009999999999998</v>
      </c>
      <c r="AA627" s="21"/>
      <c r="AB627" s="21"/>
      <c r="AC627" s="50"/>
      <c r="AD627" s="16"/>
      <c r="AE627" s="55"/>
      <c r="AF627" s="55"/>
      <c r="AI627" s="21"/>
      <c r="AJ627" s="21"/>
      <c r="AK627" s="50"/>
      <c r="AL627" s="16"/>
    </row>
    <row r="628" spans="2:39" ht="14" customHeight="1" x14ac:dyDescent="0.25">
      <c r="B628" s="21">
        <v>2</v>
      </c>
      <c r="C628" s="21" t="s">
        <v>69</v>
      </c>
      <c r="D628" s="50">
        <v>10.199999999999999</v>
      </c>
      <c r="E628" s="16">
        <v>0.2273</v>
      </c>
      <c r="F628" s="55">
        <f>D628/D887-1</f>
        <v>0.14093959731543615</v>
      </c>
      <c r="G628" s="55">
        <f>(D628-D650)/D650</f>
        <v>-7.7821011673151821E-3</v>
      </c>
      <c r="I628" s="21">
        <v>2</v>
      </c>
      <c r="J628" s="21" t="s">
        <v>69</v>
      </c>
      <c r="K628" s="57">
        <v>94.48</v>
      </c>
      <c r="L628" s="56">
        <v>0.27810000000000001</v>
      </c>
      <c r="M628" s="16">
        <f>K628/K887-1</f>
        <v>0.58151991965182459</v>
      </c>
      <c r="N628" s="16"/>
      <c r="O628" s="21">
        <v>2</v>
      </c>
      <c r="P628" s="57" t="s">
        <v>68</v>
      </c>
      <c r="Q628" s="59">
        <v>77.8</v>
      </c>
      <c r="R628" s="53">
        <v>0.33855526544821601</v>
      </c>
      <c r="T628" s="21">
        <v>2</v>
      </c>
      <c r="U628" s="56" t="s">
        <v>100</v>
      </c>
      <c r="V628" s="21">
        <v>13.88</v>
      </c>
      <c r="W628" s="54">
        <v>0.126642335766423</v>
      </c>
      <c r="AA628" s="21"/>
      <c r="AB628" s="21"/>
      <c r="AC628" s="50"/>
      <c r="AD628" s="16"/>
      <c r="AE628" s="55"/>
      <c r="AF628" s="55"/>
      <c r="AI628" s="21"/>
      <c r="AJ628" s="21"/>
      <c r="AK628" s="50"/>
      <c r="AL628" s="16"/>
    </row>
    <row r="629" spans="2:39" ht="14" customHeight="1" x14ac:dyDescent="0.25">
      <c r="B629" s="21">
        <v>3</v>
      </c>
      <c r="C629" s="21" t="s">
        <v>71</v>
      </c>
      <c r="D629" s="50">
        <v>3.24</v>
      </c>
      <c r="E629" s="16">
        <v>7.2099999999999997E-2</v>
      </c>
      <c r="F629" s="55">
        <f>D629/D888-1</f>
        <v>0.62000000000000011</v>
      </c>
      <c r="G629" s="55">
        <f>(D629-D651)/D651</f>
        <v>-0.14511873350923479</v>
      </c>
      <c r="I629" s="21">
        <v>3</v>
      </c>
      <c r="J629" s="21" t="s">
        <v>71</v>
      </c>
      <c r="K629" s="57">
        <v>29.83</v>
      </c>
      <c r="L629" s="56">
        <v>8.7800000000000003E-2</v>
      </c>
      <c r="M629" s="16">
        <f>K629/K888-1</f>
        <v>0.7153536515238641</v>
      </c>
      <c r="N629" s="16"/>
      <c r="O629" s="21">
        <v>3</v>
      </c>
      <c r="P629" s="57" t="s">
        <v>71</v>
      </c>
      <c r="Q629" s="58">
        <v>15.95</v>
      </c>
      <c r="R629" s="53">
        <v>6.9408181026980001E-2</v>
      </c>
      <c r="T629" s="21">
        <v>3</v>
      </c>
      <c r="U629" s="21" t="s">
        <v>127</v>
      </c>
      <c r="V629" s="21">
        <v>7.16</v>
      </c>
      <c r="W629" s="54">
        <v>6.5328467153284706E-2</v>
      </c>
      <c r="AA629" s="21"/>
      <c r="AB629" s="21"/>
      <c r="AC629" s="50"/>
      <c r="AD629" s="16"/>
      <c r="AE629" s="55"/>
      <c r="AF629" s="55"/>
      <c r="AI629" s="21"/>
      <c r="AJ629" s="21"/>
      <c r="AK629" s="50"/>
      <c r="AL629" s="16"/>
    </row>
    <row r="630" spans="2:39" ht="14" customHeight="1" x14ac:dyDescent="0.25">
      <c r="B630" s="21">
        <v>4</v>
      </c>
      <c r="C630" s="21" t="s">
        <v>70</v>
      </c>
      <c r="D630" s="50">
        <v>2.11</v>
      </c>
      <c r="E630" s="16">
        <v>4.7E-2</v>
      </c>
      <c r="F630" s="55">
        <f>D630/D889-1</f>
        <v>0.64843749999999978</v>
      </c>
      <c r="G630" s="55">
        <f>D630/D653-1</f>
        <v>0.19886363636363624</v>
      </c>
      <c r="I630" s="21">
        <v>4</v>
      </c>
      <c r="J630" s="21" t="s">
        <v>73</v>
      </c>
      <c r="K630" s="57">
        <v>15.08</v>
      </c>
      <c r="L630" s="56">
        <v>4.4400000000000002E-2</v>
      </c>
      <c r="M630" s="16">
        <f>K630/K891-1</f>
        <v>1.55160744500846</v>
      </c>
      <c r="N630" s="16"/>
      <c r="O630" s="21">
        <v>4</v>
      </c>
      <c r="P630" s="57" t="s">
        <v>70</v>
      </c>
      <c r="Q630" s="59">
        <v>12.88</v>
      </c>
      <c r="R630" s="53">
        <v>5.6099999999999997E-2</v>
      </c>
      <c r="T630" s="21">
        <v>4</v>
      </c>
      <c r="U630" s="56" t="s">
        <v>185</v>
      </c>
      <c r="V630" s="21">
        <v>4.95</v>
      </c>
      <c r="W630" s="54">
        <v>4.5164233576642301E-2</v>
      </c>
      <c r="AA630" s="21"/>
      <c r="AB630" s="21"/>
      <c r="AC630" s="50"/>
      <c r="AD630" s="16"/>
      <c r="AE630" s="55"/>
      <c r="AF630" s="55"/>
      <c r="AI630" s="21"/>
      <c r="AJ630" s="21"/>
      <c r="AK630" s="50"/>
      <c r="AL630" s="16"/>
    </row>
    <row r="631" spans="2:39" ht="14" customHeight="1" x14ac:dyDescent="0.25">
      <c r="B631" s="21">
        <v>5</v>
      </c>
      <c r="C631" s="21" t="s">
        <v>73</v>
      </c>
      <c r="D631" s="50">
        <v>2.0499999999999998</v>
      </c>
      <c r="E631" s="16">
        <v>4.5600000000000002E-2</v>
      </c>
      <c r="F631" s="55">
        <f>D631/D891-1</f>
        <v>1.5308641975308639</v>
      </c>
      <c r="G631" s="55">
        <f>D631/D652-1</f>
        <v>4.9019607843137081E-3</v>
      </c>
      <c r="I631" s="21">
        <v>5</v>
      </c>
      <c r="J631" s="21" t="s">
        <v>70</v>
      </c>
      <c r="K631" s="57">
        <v>13.88</v>
      </c>
      <c r="L631" s="56">
        <v>4.0899999999999999E-2</v>
      </c>
      <c r="M631" s="16">
        <f>K631/K889-1</f>
        <v>0.15570358034970866</v>
      </c>
      <c r="N631" s="16"/>
      <c r="O631" s="21">
        <v>5</v>
      </c>
      <c r="P631" s="57" t="s">
        <v>73</v>
      </c>
      <c r="Q631" s="59">
        <v>12.32</v>
      </c>
      <c r="R631" s="53">
        <v>5.3611836379460397E-2</v>
      </c>
      <c r="T631" s="21">
        <v>5</v>
      </c>
      <c r="U631" s="56" t="s">
        <v>181</v>
      </c>
      <c r="V631" s="21">
        <v>4.25</v>
      </c>
      <c r="W631" s="54">
        <v>3.8777372262773703E-2</v>
      </c>
      <c r="AA631" s="21"/>
      <c r="AB631" s="21"/>
      <c r="AC631" s="50"/>
      <c r="AD631" s="16"/>
      <c r="AE631" s="55"/>
      <c r="AF631" s="55"/>
      <c r="AI631" s="21"/>
      <c r="AJ631" s="21"/>
      <c r="AK631" s="50"/>
      <c r="AL631" s="16"/>
    </row>
    <row r="632" spans="2:39" ht="14" customHeight="1" x14ac:dyDescent="0.25">
      <c r="B632" s="21">
        <v>6</v>
      </c>
      <c r="C632" s="21" t="s">
        <v>127</v>
      </c>
      <c r="D632" s="50">
        <v>1.65</v>
      </c>
      <c r="E632" s="16">
        <v>3.6900000000000002E-2</v>
      </c>
      <c r="F632" s="55">
        <f>D632/D896-1</f>
        <v>5.875</v>
      </c>
      <c r="G632" s="55">
        <f>D632/D659-1</f>
        <v>5.875</v>
      </c>
      <c r="I632" s="21">
        <v>6</v>
      </c>
      <c r="J632" s="21" t="s">
        <v>129</v>
      </c>
      <c r="K632" s="57">
        <v>7.24</v>
      </c>
      <c r="L632" s="56">
        <v>2.1299999999999999E-2</v>
      </c>
      <c r="M632" s="16">
        <f>K632/K890-1</f>
        <v>0.14375987361769349</v>
      </c>
      <c r="N632" s="16"/>
      <c r="O632" s="21">
        <v>6</v>
      </c>
      <c r="P632" s="57" t="s">
        <v>322</v>
      </c>
      <c r="Q632" s="59">
        <v>3.56</v>
      </c>
      <c r="R632" s="53">
        <v>1.54917319408181E-2</v>
      </c>
      <c r="T632" s="21">
        <v>6</v>
      </c>
      <c r="U632" s="56" t="s">
        <v>104</v>
      </c>
      <c r="V632" s="21">
        <v>4.0599999999999996</v>
      </c>
      <c r="W632" s="54">
        <v>3.7043795620437997E-2</v>
      </c>
      <c r="AA632" s="21"/>
      <c r="AB632" s="21"/>
      <c r="AC632" s="50"/>
      <c r="AD632" s="16"/>
      <c r="AE632" s="52"/>
      <c r="AF632" s="55"/>
      <c r="AI632" s="21"/>
      <c r="AJ632" s="21"/>
      <c r="AK632" s="50"/>
      <c r="AL632" s="16"/>
      <c r="AM632" s="52"/>
    </row>
    <row r="633" spans="2:39" ht="14" customHeight="1" x14ac:dyDescent="0.25">
      <c r="B633" s="21">
        <v>7</v>
      </c>
      <c r="C633" s="21" t="s">
        <v>74</v>
      </c>
      <c r="D633" s="50">
        <v>1.39</v>
      </c>
      <c r="E633" s="16">
        <v>3.09E-2</v>
      </c>
      <c r="F633" s="55">
        <f>D633/D892-1</f>
        <v>1.3559322033898304</v>
      </c>
      <c r="G633" s="55">
        <f>D633/D654-1</f>
        <v>0</v>
      </c>
      <c r="I633" s="21">
        <v>7</v>
      </c>
      <c r="J633" s="21" t="s">
        <v>74</v>
      </c>
      <c r="K633" s="57">
        <v>7.18</v>
      </c>
      <c r="L633" s="56">
        <v>2.1100000000000001E-2</v>
      </c>
      <c r="M633" s="16">
        <f>K633/K892-1</f>
        <v>0.27304964539007104</v>
      </c>
      <c r="N633" s="16"/>
      <c r="O633" s="21">
        <v>7</v>
      </c>
      <c r="P633" s="57" t="s">
        <v>323</v>
      </c>
      <c r="Q633" s="59">
        <v>3.51</v>
      </c>
      <c r="R633" s="53">
        <v>1.5274151436031299E-2</v>
      </c>
      <c r="T633" s="21">
        <v>7</v>
      </c>
      <c r="U633" s="56" t="s">
        <v>103</v>
      </c>
      <c r="V633" s="49">
        <v>2.76</v>
      </c>
      <c r="W633" s="54">
        <v>2.51824817518248E-2</v>
      </c>
      <c r="AA633" s="21"/>
      <c r="AB633" s="21"/>
      <c r="AC633" s="50"/>
      <c r="AD633" s="16"/>
      <c r="AE633" s="52"/>
      <c r="AF633" s="55"/>
      <c r="AI633" s="21"/>
      <c r="AJ633" s="21"/>
      <c r="AK633" s="50"/>
      <c r="AL633" s="16"/>
      <c r="AM633" s="52"/>
    </row>
    <row r="634" spans="2:39" ht="14" customHeight="1" x14ac:dyDescent="0.25">
      <c r="B634" s="21">
        <v>8</v>
      </c>
      <c r="C634" s="21" t="s">
        <v>357</v>
      </c>
      <c r="D634" s="50">
        <v>1.07</v>
      </c>
      <c r="E634" s="16">
        <v>2.3900000000000001E-2</v>
      </c>
      <c r="F634" s="55">
        <f>D634/D894-1</f>
        <v>1.7435897435897436</v>
      </c>
      <c r="G634" s="55">
        <f>(D634-D658)/D658</f>
        <v>1.229166666666667</v>
      </c>
      <c r="I634" s="21">
        <v>8</v>
      </c>
      <c r="J634" s="21" t="s">
        <v>127</v>
      </c>
      <c r="K634" s="57">
        <v>7.16</v>
      </c>
      <c r="L634" s="56">
        <v>2.1100000000000001E-2</v>
      </c>
      <c r="M634" s="16">
        <f>K634/K893-1</f>
        <v>0.44646464646464645</v>
      </c>
      <c r="N634" s="16"/>
      <c r="O634" s="21">
        <v>8</v>
      </c>
      <c r="P634" s="57" t="s">
        <v>74</v>
      </c>
      <c r="Q634" s="58">
        <v>3.11</v>
      </c>
      <c r="R634" s="53">
        <v>1.3599999999999999E-2</v>
      </c>
      <c r="T634" s="21">
        <v>8</v>
      </c>
      <c r="U634" s="56" t="s">
        <v>101</v>
      </c>
      <c r="V634" s="21">
        <v>1</v>
      </c>
      <c r="W634" s="54">
        <v>9.1240875912408804E-3</v>
      </c>
      <c r="AA634" s="21"/>
      <c r="AB634" s="21"/>
      <c r="AC634" s="21"/>
      <c r="AD634" s="21"/>
      <c r="AE634" s="53"/>
      <c r="AF634" s="53"/>
      <c r="AG634" s="53"/>
      <c r="AH634" s="15"/>
    </row>
    <row r="635" spans="2:39" ht="14" customHeight="1" x14ac:dyDescent="0.25">
      <c r="B635" s="21">
        <v>9</v>
      </c>
      <c r="C635" s="21" t="s">
        <v>129</v>
      </c>
      <c r="D635" s="50">
        <v>0.93</v>
      </c>
      <c r="E635" s="16">
        <v>2.0799999999999999E-2</v>
      </c>
      <c r="F635" s="55">
        <f>D635/D890-1</f>
        <v>0.12048192771084354</v>
      </c>
      <c r="G635" s="55">
        <f>D635/D658-1</f>
        <v>0.93750000000000022</v>
      </c>
      <c r="I635" s="21">
        <v>9</v>
      </c>
      <c r="J635" s="15" t="s">
        <v>185</v>
      </c>
      <c r="K635" s="57">
        <v>4.95</v>
      </c>
      <c r="L635" s="56">
        <v>1.46E-2</v>
      </c>
      <c r="M635" s="16">
        <f>K635/K894-1</f>
        <v>8.0786026200873495E-2</v>
      </c>
      <c r="N635" s="16"/>
      <c r="O635" s="21">
        <v>9</v>
      </c>
      <c r="P635" s="57" t="s">
        <v>129</v>
      </c>
      <c r="Q635" s="59">
        <v>2.99</v>
      </c>
      <c r="R635" s="53">
        <v>1.30113141862489E-2</v>
      </c>
      <c r="T635" s="21">
        <v>9</v>
      </c>
      <c r="U635" s="56" t="s">
        <v>370</v>
      </c>
      <c r="V635" s="21">
        <v>0.96</v>
      </c>
      <c r="W635" s="54">
        <v>8.7591240875912399E-3</v>
      </c>
      <c r="AA635" s="21"/>
      <c r="AB635" s="21"/>
      <c r="AC635" s="21"/>
      <c r="AD635" s="21"/>
      <c r="AE635" s="53"/>
      <c r="AF635" s="53"/>
      <c r="AG635" s="53"/>
      <c r="AH635" s="15"/>
    </row>
    <row r="636" spans="2:39" ht="14" customHeight="1" x14ac:dyDescent="0.25">
      <c r="B636" s="21">
        <v>10</v>
      </c>
      <c r="C636" s="15" t="s">
        <v>369</v>
      </c>
      <c r="D636" s="50">
        <v>0.84</v>
      </c>
      <c r="E636" s="16">
        <v>1.8800000000000001E-2</v>
      </c>
      <c r="F636" s="55">
        <f>D636/D893-1</f>
        <v>1</v>
      </c>
      <c r="G636" s="55">
        <f>(D636-D656)/D656</f>
        <v>0.52727272727272712</v>
      </c>
      <c r="I636" s="21">
        <v>10</v>
      </c>
      <c r="J636" s="21" t="s">
        <v>323</v>
      </c>
      <c r="K636" s="57">
        <v>4.47</v>
      </c>
      <c r="L636" s="56">
        <v>1.32E-2</v>
      </c>
      <c r="M636" s="16">
        <f>K636/K897-1</f>
        <v>0.96916299559471364</v>
      </c>
      <c r="N636" s="16"/>
      <c r="O636" s="21">
        <v>10</v>
      </c>
      <c r="P636" s="57" t="s">
        <v>326</v>
      </c>
      <c r="Q636" s="58">
        <v>1.54</v>
      </c>
      <c r="R636" s="53">
        <v>6.7014795474325496E-3</v>
      </c>
      <c r="T636" s="21">
        <v>10</v>
      </c>
      <c r="U636" s="56" t="s">
        <v>392</v>
      </c>
      <c r="V636" s="49">
        <v>0.86</v>
      </c>
      <c r="W636" s="54">
        <v>7.8467153284671499E-3</v>
      </c>
      <c r="AA636" s="21"/>
      <c r="AB636" s="21"/>
      <c r="AC636" s="21"/>
      <c r="AD636" s="21"/>
      <c r="AE636" s="53"/>
      <c r="AF636" s="53"/>
      <c r="AG636" s="53"/>
      <c r="AH636" s="15"/>
    </row>
    <row r="637" spans="2:39" ht="14" customHeight="1" x14ac:dyDescent="0.25">
      <c r="B637" s="21">
        <v>11</v>
      </c>
      <c r="C637" s="21" t="s">
        <v>323</v>
      </c>
      <c r="D637" s="50">
        <v>0.71</v>
      </c>
      <c r="E637" s="16">
        <v>1.5800000000000002E-2</v>
      </c>
      <c r="F637" s="55">
        <f>D637/D898-1</f>
        <v>2.9444444444444442</v>
      </c>
      <c r="G637" s="55">
        <f>D637/D657-1</f>
        <v>0.31481481481481466</v>
      </c>
      <c r="I637" s="21">
        <v>11</v>
      </c>
      <c r="J637" s="21" t="s">
        <v>322</v>
      </c>
      <c r="K637" s="57">
        <v>3.99</v>
      </c>
      <c r="L637" s="65">
        <v>1.17E-2</v>
      </c>
      <c r="M637" s="16">
        <f>K637/K895-1</f>
        <v>-1.2376237623762387E-2</v>
      </c>
      <c r="N637" s="16"/>
      <c r="O637" s="21">
        <v>11</v>
      </c>
      <c r="P637" s="57" t="s">
        <v>408</v>
      </c>
      <c r="Q637" s="59">
        <v>0.36</v>
      </c>
      <c r="R637" s="53">
        <v>1.5E-3</v>
      </c>
      <c r="T637" s="21">
        <v>11</v>
      </c>
      <c r="U637" s="56" t="s">
        <v>491</v>
      </c>
      <c r="V637" s="21">
        <v>0.44</v>
      </c>
      <c r="W637" s="54">
        <v>4.1000000000000003E-3</v>
      </c>
      <c r="AA637" s="21"/>
      <c r="AB637" s="21"/>
      <c r="AC637" s="21"/>
      <c r="AD637" s="21"/>
      <c r="AE637" s="53"/>
      <c r="AF637" s="53"/>
      <c r="AG637" s="53"/>
      <c r="AH637" s="15"/>
    </row>
    <row r="638" spans="2:39" ht="14" customHeight="1" x14ac:dyDescent="0.25">
      <c r="B638" s="21">
        <v>12</v>
      </c>
      <c r="C638" s="21" t="s">
        <v>492</v>
      </c>
      <c r="D638" s="50">
        <v>0.41</v>
      </c>
      <c r="E638" s="16">
        <v>9.1999999999999998E-3</v>
      </c>
      <c r="F638" s="55"/>
      <c r="G638" s="55">
        <f t="shared" ref="G638" si="45">(D638-D660)/D660</f>
        <v>0.70833333333333326</v>
      </c>
      <c r="I638" s="21">
        <v>12</v>
      </c>
      <c r="J638" s="21" t="s">
        <v>326</v>
      </c>
      <c r="K638" s="57">
        <v>1.62</v>
      </c>
      <c r="L638" s="65">
        <v>4.7999999999999996E-3</v>
      </c>
      <c r="M638" s="16">
        <f>K638/K898-1</f>
        <v>-4.1420118343195145E-2</v>
      </c>
      <c r="N638" s="16"/>
      <c r="O638" s="21">
        <v>12</v>
      </c>
      <c r="P638" s="57" t="s">
        <v>476</v>
      </c>
      <c r="Q638" s="59">
        <v>0.27</v>
      </c>
      <c r="R638" s="53">
        <v>1.17493472584856E-3</v>
      </c>
      <c r="T638" s="21">
        <v>12</v>
      </c>
      <c r="U638" s="56" t="s">
        <v>369</v>
      </c>
      <c r="V638" s="21">
        <v>0.43</v>
      </c>
      <c r="W638" s="54">
        <v>3.9233576642335802E-3</v>
      </c>
      <c r="AA638" s="21"/>
      <c r="AB638" s="21"/>
      <c r="AC638" s="21"/>
      <c r="AD638" s="21"/>
      <c r="AE638" s="53"/>
      <c r="AF638" s="53"/>
      <c r="AG638" s="53"/>
      <c r="AH638" s="15"/>
    </row>
    <row r="639" spans="2:39" ht="14" customHeight="1" x14ac:dyDescent="0.25">
      <c r="B639" s="21">
        <v>13</v>
      </c>
      <c r="C639" s="21" t="s">
        <v>326</v>
      </c>
      <c r="D639" s="50">
        <v>0.22</v>
      </c>
      <c r="E639" s="16">
        <v>4.7999999999999996E-3</v>
      </c>
      <c r="F639" s="55"/>
      <c r="G639" s="55">
        <f>D639/D660-1</f>
        <v>-8.3333333333333259E-2</v>
      </c>
      <c r="I639" s="21">
        <v>13</v>
      </c>
      <c r="J639" s="56" t="s">
        <v>392</v>
      </c>
      <c r="K639" s="57">
        <v>0.91</v>
      </c>
      <c r="L639" s="65">
        <v>2.7000000000000001E-3</v>
      </c>
      <c r="M639" s="16">
        <f>K639/K896-1</f>
        <v>-0.60262008733624461</v>
      </c>
      <c r="N639" s="16"/>
      <c r="O639" s="21">
        <v>13</v>
      </c>
      <c r="P639" s="57" t="s">
        <v>485</v>
      </c>
      <c r="Q639" s="59">
        <v>0.27</v>
      </c>
      <c r="R639" s="53">
        <v>1.17493472584856E-3</v>
      </c>
      <c r="T639" s="21">
        <v>13</v>
      </c>
      <c r="U639" s="56" t="s">
        <v>58</v>
      </c>
      <c r="V639" s="49">
        <v>0.28000000000000003</v>
      </c>
      <c r="W639" s="54">
        <v>2.55474452554745E-3</v>
      </c>
      <c r="AA639" s="21"/>
      <c r="AB639" s="21"/>
      <c r="AC639" s="21"/>
      <c r="AD639" s="21"/>
      <c r="AE639" s="53"/>
      <c r="AF639" s="53"/>
      <c r="AG639" s="53"/>
      <c r="AH639" s="15"/>
    </row>
    <row r="640" spans="2:39" ht="14" customHeight="1" x14ac:dyDescent="0.25">
      <c r="B640" s="21">
        <v>14</v>
      </c>
      <c r="C640" s="21" t="s">
        <v>408</v>
      </c>
      <c r="D640" s="50">
        <v>7.0000000000000007E-2</v>
      </c>
      <c r="E640" s="16">
        <v>1.6000000000000001E-3</v>
      </c>
      <c r="F640" s="55"/>
      <c r="G640" s="55">
        <f>(D640-D663)/D663</f>
        <v>0.40000000000000008</v>
      </c>
      <c r="I640" s="21">
        <v>14</v>
      </c>
      <c r="J640" s="21" t="s">
        <v>492</v>
      </c>
      <c r="K640" s="57">
        <v>0.44</v>
      </c>
      <c r="L640" s="65">
        <v>1.2999999999999999E-3</v>
      </c>
      <c r="M640" s="16"/>
      <c r="N640" s="16"/>
      <c r="O640" s="21">
        <v>14</v>
      </c>
      <c r="P640" s="57" t="s">
        <v>426</v>
      </c>
      <c r="Q640" s="59">
        <v>0.18</v>
      </c>
      <c r="R640" s="53">
        <v>7.8328981723237601E-4</v>
      </c>
      <c r="T640" s="21">
        <v>14</v>
      </c>
      <c r="U640" s="56" t="s">
        <v>399</v>
      </c>
      <c r="V640" s="49">
        <v>0.12</v>
      </c>
      <c r="W640" s="54">
        <v>1.09489051094891E-3</v>
      </c>
      <c r="AA640" s="21"/>
      <c r="AB640" s="21"/>
      <c r="AC640" s="21"/>
      <c r="AD640" s="21"/>
      <c r="AE640" s="53"/>
      <c r="AF640" s="53"/>
      <c r="AG640" s="53"/>
      <c r="AH640" s="15"/>
    </row>
    <row r="641" spans="2:39" ht="14" customHeight="1" x14ac:dyDescent="0.25">
      <c r="B641" s="21">
        <v>15</v>
      </c>
      <c r="C641" s="21" t="s">
        <v>342</v>
      </c>
      <c r="D641" s="50">
        <v>0.05</v>
      </c>
      <c r="E641" s="16">
        <v>1.1999999999999999E-3</v>
      </c>
      <c r="F641" s="55">
        <f>D641/D900-1</f>
        <v>-0.54545454545454541</v>
      </c>
      <c r="G641" s="55"/>
      <c r="I641" s="21">
        <v>15</v>
      </c>
      <c r="J641" s="21" t="s">
        <v>408</v>
      </c>
      <c r="K641" s="57">
        <v>0.36</v>
      </c>
      <c r="L641" s="65">
        <v>1E-3</v>
      </c>
      <c r="M641" s="16"/>
      <c r="N641" s="16"/>
      <c r="O641" s="21">
        <v>15</v>
      </c>
      <c r="P641" s="57" t="s">
        <v>471</v>
      </c>
      <c r="Q641" s="59">
        <v>0.12</v>
      </c>
      <c r="R641" s="53">
        <v>5.2219321148825096E-4</v>
      </c>
      <c r="T641" s="21">
        <v>15</v>
      </c>
      <c r="U641" s="56" t="s">
        <v>504</v>
      </c>
      <c r="V641" s="21">
        <v>0.1</v>
      </c>
      <c r="W641" s="54">
        <v>9.1240875912408799E-4</v>
      </c>
      <c r="AA641" s="21"/>
      <c r="AB641" s="21"/>
      <c r="AC641" s="21"/>
      <c r="AD641" s="21"/>
      <c r="AE641" s="53"/>
      <c r="AF641" s="53"/>
      <c r="AG641" s="53"/>
      <c r="AH641" s="15"/>
    </row>
    <row r="642" spans="2:39" ht="14" customHeight="1" x14ac:dyDescent="0.25">
      <c r="B642" s="21"/>
      <c r="C642" s="21" t="s">
        <v>77</v>
      </c>
      <c r="D642" s="50">
        <f>D643-SUM(D627:D641)</f>
        <v>0.26000000000000512</v>
      </c>
      <c r="E642" s="16">
        <v>5.0000000000000001E-3</v>
      </c>
      <c r="F642" s="52"/>
      <c r="G642" s="55">
        <f>D642/D664-1</f>
        <v>0.13043478260869823</v>
      </c>
      <c r="I642" s="21"/>
      <c r="J642" s="21" t="s">
        <v>77</v>
      </c>
      <c r="K642" s="50">
        <f>K643-SUM(K627:K641)</f>
        <v>2.3299999999999272</v>
      </c>
      <c r="L642" s="65">
        <f>L643-SUM(L627:L641)</f>
        <v>6.8999999999999062E-3</v>
      </c>
      <c r="M642" s="16"/>
      <c r="N642" s="16"/>
      <c r="P642" s="21" t="s">
        <v>77</v>
      </c>
      <c r="Q642" s="50">
        <f>Q643-SUM(Q627:Q641)</f>
        <v>0.48999999999998067</v>
      </c>
      <c r="R642" s="65">
        <v>2.1322889469106402E-3</v>
      </c>
      <c r="T642" s="56"/>
      <c r="U642" s="21" t="s">
        <v>77</v>
      </c>
      <c r="V642" s="50">
        <f>V643-SUM(V627:V641)</f>
        <v>0.36999999999999034</v>
      </c>
      <c r="W642" s="65">
        <f>W643-SUM(W627:W641)</f>
        <v>3.4459854014601277E-3</v>
      </c>
    </row>
    <row r="643" spans="2:39" ht="14" customHeight="1" x14ac:dyDescent="0.25">
      <c r="B643" s="21"/>
      <c r="C643" s="21" t="s">
        <v>78</v>
      </c>
      <c r="D643" s="50">
        <v>44.9</v>
      </c>
      <c r="E643" s="16">
        <f>D643/D643</f>
        <v>1</v>
      </c>
      <c r="F643" s="52"/>
      <c r="G643" s="55">
        <f>D643/D665-1</f>
        <v>0.14540816326530592</v>
      </c>
      <c r="I643" s="21"/>
      <c r="J643" s="21" t="s">
        <v>78</v>
      </c>
      <c r="K643" s="57">
        <v>339.7</v>
      </c>
      <c r="L643" s="65">
        <v>1</v>
      </c>
      <c r="M643" s="16"/>
      <c r="N643" s="16"/>
      <c r="P643" s="21" t="s">
        <v>78</v>
      </c>
      <c r="Q643" s="57">
        <v>229.8</v>
      </c>
      <c r="R643" s="65">
        <v>1</v>
      </c>
      <c r="S643" s="228"/>
      <c r="U643" s="21" t="s">
        <v>78</v>
      </c>
      <c r="V643" s="57">
        <v>109.6</v>
      </c>
      <c r="W643" s="65">
        <v>1</v>
      </c>
      <c r="X643" s="228"/>
    </row>
    <row r="644" spans="2:39" ht="14" customHeight="1" x14ac:dyDescent="0.25">
      <c r="D644" s="43"/>
      <c r="J644" s="43"/>
      <c r="O644" s="227"/>
      <c r="X644" s="227"/>
    </row>
    <row r="645" spans="2:39" ht="14" customHeight="1" x14ac:dyDescent="0.25">
      <c r="D645" s="43"/>
      <c r="J645" s="43"/>
      <c r="O645" s="227"/>
      <c r="X645" s="227"/>
    </row>
    <row r="646" spans="2:39" ht="14" customHeight="1" x14ac:dyDescent="0.25">
      <c r="D646" s="43"/>
      <c r="J646" s="43"/>
      <c r="O646" s="227"/>
      <c r="X646" s="227"/>
    </row>
    <row r="647" spans="2:39" ht="14" customHeight="1" x14ac:dyDescent="0.25">
      <c r="B647" s="15" t="s">
        <v>505</v>
      </c>
      <c r="C647" s="21"/>
      <c r="D647" s="50"/>
      <c r="E647" s="16"/>
      <c r="F647" s="52"/>
      <c r="G647" s="55"/>
      <c r="I647" s="15" t="s">
        <v>506</v>
      </c>
      <c r="O647" s="25" t="s">
        <v>507</v>
      </c>
      <c r="T647" s="25" t="s">
        <v>508</v>
      </c>
      <c r="AA647" s="25"/>
      <c r="AB647" s="15"/>
      <c r="AC647" s="15"/>
      <c r="AD647" s="15"/>
      <c r="AE647" s="15"/>
      <c r="AF647" s="15"/>
      <c r="AI647" s="25"/>
      <c r="AJ647" s="15"/>
      <c r="AK647" s="15"/>
      <c r="AL647" s="15"/>
      <c r="AM647" s="15"/>
    </row>
    <row r="648" spans="2:39" ht="14" customHeight="1" x14ac:dyDescent="0.25">
      <c r="B648" s="21" t="s">
        <v>334</v>
      </c>
      <c r="C648" s="21" t="s">
        <v>335</v>
      </c>
      <c r="D648" s="9" t="s">
        <v>436</v>
      </c>
      <c r="E648" s="21" t="s">
        <v>337</v>
      </c>
      <c r="F648" s="21" t="s">
        <v>423</v>
      </c>
      <c r="G648" s="21" t="s">
        <v>424</v>
      </c>
      <c r="I648" s="21" t="s">
        <v>334</v>
      </c>
      <c r="J648" s="21" t="s">
        <v>335</v>
      </c>
      <c r="K648" s="9" t="s">
        <v>437</v>
      </c>
      <c r="L648" s="21" t="s">
        <v>337</v>
      </c>
      <c r="M648" s="21" t="s">
        <v>423</v>
      </c>
      <c r="N648" s="21"/>
      <c r="O648" s="21" t="s">
        <v>334</v>
      </c>
      <c r="P648" s="21" t="s">
        <v>335</v>
      </c>
      <c r="Q648" s="50" t="s">
        <v>438</v>
      </c>
      <c r="R648" s="56" t="s">
        <v>384</v>
      </c>
      <c r="S648" s="21"/>
      <c r="T648" s="21" t="s">
        <v>334</v>
      </c>
      <c r="U648" s="56" t="s">
        <v>381</v>
      </c>
      <c r="V648" s="21" t="s">
        <v>438</v>
      </c>
      <c r="W648" s="57" t="s">
        <v>337</v>
      </c>
      <c r="X648" s="21"/>
      <c r="AA648" s="21"/>
      <c r="AB648" s="21"/>
      <c r="AC648" s="9"/>
      <c r="AD648" s="21"/>
      <c r="AE648" s="21"/>
      <c r="AF648" s="21"/>
      <c r="AI648" s="21"/>
      <c r="AJ648" s="21"/>
      <c r="AK648" s="9"/>
      <c r="AL648" s="21"/>
    </row>
    <row r="649" spans="2:39" ht="14" customHeight="1" x14ac:dyDescent="0.25">
      <c r="B649" s="21">
        <v>1</v>
      </c>
      <c r="C649" s="21" t="s">
        <v>68</v>
      </c>
      <c r="D649" s="50">
        <v>16.78</v>
      </c>
      <c r="E649" s="16">
        <v>0.42809999999999998</v>
      </c>
      <c r="F649" s="55">
        <f>(D649-D907)/D907</f>
        <v>0.13685636856368574</v>
      </c>
      <c r="G649" s="55">
        <f>(D649-D671)/D671</f>
        <v>0.16933797909407677</v>
      </c>
      <c r="I649" s="21">
        <v>1</v>
      </c>
      <c r="J649" s="21" t="s">
        <v>68</v>
      </c>
      <c r="K649" s="57">
        <v>126.08</v>
      </c>
      <c r="L649" s="56">
        <v>0.42749999999999999</v>
      </c>
      <c r="M649" s="16">
        <f>(K649-K907)/K907</f>
        <v>0.18074545795092711</v>
      </c>
      <c r="N649" s="16"/>
      <c r="O649" s="21">
        <v>1</v>
      </c>
      <c r="P649" s="57" t="s">
        <v>69</v>
      </c>
      <c r="Q649" s="59">
        <v>84.27</v>
      </c>
      <c r="R649" s="53">
        <v>0.42</v>
      </c>
      <c r="T649" s="21">
        <v>1</v>
      </c>
      <c r="U649" s="56" t="s">
        <v>98</v>
      </c>
      <c r="V649" s="21">
        <v>58.91</v>
      </c>
      <c r="W649" s="54">
        <v>0.62729999999999997</v>
      </c>
      <c r="AA649" s="21"/>
      <c r="AB649" s="21"/>
      <c r="AC649" s="50"/>
      <c r="AD649" s="16"/>
      <c r="AE649" s="55"/>
      <c r="AF649" s="55"/>
      <c r="AI649" s="21"/>
      <c r="AJ649" s="21"/>
      <c r="AK649" s="50"/>
      <c r="AL649" s="16"/>
    </row>
    <row r="650" spans="2:39" ht="14" customHeight="1" x14ac:dyDescent="0.25">
      <c r="B650" s="21">
        <v>2</v>
      </c>
      <c r="C650" s="21" t="s">
        <v>69</v>
      </c>
      <c r="D650" s="50">
        <v>10.28</v>
      </c>
      <c r="E650" s="16">
        <v>0.26229999999999998</v>
      </c>
      <c r="F650" s="55">
        <f>(D650-D908)/D908</f>
        <v>0.32816537467700246</v>
      </c>
      <c r="G650" s="55">
        <f t="shared" ref="G650:G660" si="46">(D650-D672)/D672</f>
        <v>4.577822990844347E-2</v>
      </c>
      <c r="I650" s="21">
        <v>2</v>
      </c>
      <c r="J650" s="21" t="s">
        <v>69</v>
      </c>
      <c r="K650" s="57">
        <v>84.28</v>
      </c>
      <c r="L650" s="56">
        <v>0.28939999999999999</v>
      </c>
      <c r="M650" s="16">
        <f>(K650-K908)/K908</f>
        <v>0.65905511811023632</v>
      </c>
      <c r="N650" s="16"/>
      <c r="O650" s="21">
        <v>2</v>
      </c>
      <c r="P650" s="57" t="s">
        <v>68</v>
      </c>
      <c r="Q650" s="59">
        <v>67.17</v>
      </c>
      <c r="R650" s="53">
        <v>0.33479999999999999</v>
      </c>
      <c r="T650" s="21">
        <v>2</v>
      </c>
      <c r="U650" s="56" t="s">
        <v>100</v>
      </c>
      <c r="V650" s="21">
        <v>12.54</v>
      </c>
      <c r="W650" s="54">
        <v>0.13350000000000001</v>
      </c>
      <c r="AA650" s="21"/>
      <c r="AB650" s="21"/>
      <c r="AC650" s="50"/>
      <c r="AD650" s="16"/>
      <c r="AE650" s="55"/>
      <c r="AF650" s="55"/>
      <c r="AI650" s="21"/>
      <c r="AJ650" s="21"/>
      <c r="AK650" s="50"/>
      <c r="AL650" s="16"/>
    </row>
    <row r="651" spans="2:39" ht="14" customHeight="1" x14ac:dyDescent="0.25">
      <c r="B651" s="21">
        <v>3</v>
      </c>
      <c r="C651" s="21" t="s">
        <v>71</v>
      </c>
      <c r="D651" s="50">
        <v>3.79</v>
      </c>
      <c r="E651" s="16">
        <v>9.6699999999999994E-2</v>
      </c>
      <c r="F651" s="55">
        <f>(D651-D909)/D909</f>
        <v>0.83980582524271841</v>
      </c>
      <c r="G651" s="55">
        <f t="shared" si="46"/>
        <v>3.5519125683060079E-2</v>
      </c>
      <c r="I651" s="21">
        <v>3</v>
      </c>
      <c r="J651" s="21" t="s">
        <v>71</v>
      </c>
      <c r="K651" s="57">
        <v>26.6</v>
      </c>
      <c r="L651" s="56">
        <v>8.9200000000000002E-2</v>
      </c>
      <c r="M651" s="16">
        <f>(K651-K909)/K909</f>
        <v>0.72839506172839508</v>
      </c>
      <c r="N651" s="16"/>
      <c r="O651" s="21">
        <v>3</v>
      </c>
      <c r="P651" s="57" t="s">
        <v>71</v>
      </c>
      <c r="Q651" s="58">
        <v>14.06</v>
      </c>
      <c r="R651" s="53">
        <v>7.0099999999999996E-2</v>
      </c>
      <c r="T651" s="21">
        <v>3</v>
      </c>
      <c r="U651" s="21" t="s">
        <v>127</v>
      </c>
      <c r="V651" s="21">
        <v>5.5</v>
      </c>
      <c r="W651" s="54">
        <v>5.8599999999999999E-2</v>
      </c>
      <c r="AA651" s="21"/>
      <c r="AB651" s="21"/>
      <c r="AC651" s="50"/>
      <c r="AD651" s="16"/>
      <c r="AE651" s="55"/>
      <c r="AF651" s="55"/>
      <c r="AI651" s="21"/>
      <c r="AJ651" s="21"/>
      <c r="AK651" s="50"/>
      <c r="AL651" s="16"/>
    </row>
    <row r="652" spans="2:39" ht="14" customHeight="1" x14ac:dyDescent="0.25">
      <c r="B652" s="21">
        <v>4</v>
      </c>
      <c r="C652" s="21" t="s">
        <v>73</v>
      </c>
      <c r="D652" s="50">
        <v>2.04</v>
      </c>
      <c r="E652" s="16">
        <v>5.21E-2</v>
      </c>
      <c r="F652" s="55">
        <f>(D652-D911)/D911</f>
        <v>1.9999999999999998</v>
      </c>
      <c r="G652" s="55">
        <f t="shared" si="46"/>
        <v>0.10869565217391301</v>
      </c>
      <c r="I652" s="21">
        <v>4</v>
      </c>
      <c r="J652" s="21" t="s">
        <v>73</v>
      </c>
      <c r="K652" s="57">
        <v>13.04</v>
      </c>
      <c r="L652" s="56">
        <v>4.2999999999999997E-2</v>
      </c>
      <c r="M652" s="16">
        <f>(K652-K911)/K911</f>
        <v>1.3709090909090909</v>
      </c>
      <c r="N652" s="16"/>
      <c r="O652" s="21">
        <v>4</v>
      </c>
      <c r="P652" s="57" t="s">
        <v>70</v>
      </c>
      <c r="Q652" s="59">
        <v>10.92</v>
      </c>
      <c r="R652" s="53">
        <v>5.4399999999999997E-2</v>
      </c>
      <c r="T652" s="21">
        <v>4</v>
      </c>
      <c r="U652" s="56" t="s">
        <v>185</v>
      </c>
      <c r="V652" s="21">
        <v>3.88</v>
      </c>
      <c r="W652" s="54">
        <v>4.1300000000000003E-2</v>
      </c>
      <c r="AA652" s="21"/>
      <c r="AB652" s="21"/>
      <c r="AC652" s="50"/>
      <c r="AD652" s="16"/>
      <c r="AE652" s="55"/>
      <c r="AF652" s="55"/>
      <c r="AI652" s="21"/>
      <c r="AJ652" s="21"/>
      <c r="AK652" s="50"/>
      <c r="AL652" s="16"/>
    </row>
    <row r="653" spans="2:39" ht="14" customHeight="1" x14ac:dyDescent="0.25">
      <c r="B653" s="21">
        <v>5</v>
      </c>
      <c r="C653" s="21" t="s">
        <v>70</v>
      </c>
      <c r="D653" s="50">
        <v>1.76</v>
      </c>
      <c r="E653" s="16">
        <v>4.4900000000000002E-2</v>
      </c>
      <c r="F653" s="55">
        <f>(D653-D910)/D910</f>
        <v>0.27536231884057982</v>
      </c>
      <c r="G653" s="55">
        <f t="shared" si="46"/>
        <v>0.19727891156462588</v>
      </c>
      <c r="I653" s="21">
        <v>5</v>
      </c>
      <c r="J653" s="21" t="s">
        <v>70</v>
      </c>
      <c r="K653" s="57">
        <v>11.78</v>
      </c>
      <c r="L653" s="56">
        <v>3.9199999999999999E-2</v>
      </c>
      <c r="M653" s="16">
        <f>(K653-K910)/K910</f>
        <v>9.7856477166821887E-2</v>
      </c>
      <c r="N653" s="16"/>
      <c r="O653" s="21">
        <v>5</v>
      </c>
      <c r="P653" s="57" t="s">
        <v>73</v>
      </c>
      <c r="Q653" s="59">
        <v>10.67</v>
      </c>
      <c r="R653" s="53">
        <v>5.3199999999999997E-2</v>
      </c>
      <c r="T653" s="21">
        <v>5</v>
      </c>
      <c r="U653" s="56" t="s">
        <v>181</v>
      </c>
      <c r="V653" s="21">
        <v>3.71</v>
      </c>
      <c r="W653" s="54">
        <v>3.95E-2</v>
      </c>
      <c r="AA653" s="21"/>
      <c r="AB653" s="21"/>
      <c r="AC653" s="50"/>
      <c r="AD653" s="16"/>
      <c r="AE653" s="55"/>
      <c r="AF653" s="55"/>
      <c r="AI653" s="21"/>
      <c r="AJ653" s="21"/>
      <c r="AK653" s="50"/>
      <c r="AL653" s="16"/>
    </row>
    <row r="654" spans="2:39" ht="14" customHeight="1" x14ac:dyDescent="0.25">
      <c r="B654" s="21">
        <v>6</v>
      </c>
      <c r="C654" s="21" t="s">
        <v>74</v>
      </c>
      <c r="D654" s="50">
        <v>1.39</v>
      </c>
      <c r="E654" s="16">
        <v>3.5400000000000001E-2</v>
      </c>
      <c r="F654" s="55">
        <f>(D654-D913)/D913</f>
        <v>1.6226415094339619</v>
      </c>
      <c r="G654" s="55">
        <f>(D654-D677)/D677</f>
        <v>0.40404040404040398</v>
      </c>
      <c r="I654" s="21">
        <v>6</v>
      </c>
      <c r="J654" s="21" t="s">
        <v>129</v>
      </c>
      <c r="K654" s="57">
        <v>6.31</v>
      </c>
      <c r="L654" s="56">
        <v>2.2800000000000001E-2</v>
      </c>
      <c r="M654" s="16">
        <f>(K654-K912)/K912</f>
        <v>0.23725490196078433</v>
      </c>
      <c r="N654" s="16"/>
      <c r="O654" s="21">
        <v>6</v>
      </c>
      <c r="P654" s="57" t="s">
        <v>323</v>
      </c>
      <c r="Q654" s="59">
        <v>2.97</v>
      </c>
      <c r="R654" s="53">
        <v>1.4800000000000001E-2</v>
      </c>
      <c r="T654" s="21">
        <v>6</v>
      </c>
      <c r="U654" s="56" t="s">
        <v>104</v>
      </c>
      <c r="V654" s="21">
        <v>3.22</v>
      </c>
      <c r="W654" s="54">
        <v>3.4299999999999997E-2</v>
      </c>
      <c r="AA654" s="21"/>
      <c r="AB654" s="21"/>
      <c r="AC654" s="50"/>
      <c r="AD654" s="16"/>
      <c r="AE654" s="52"/>
      <c r="AF654" s="55"/>
      <c r="AI654" s="21"/>
      <c r="AJ654" s="21"/>
      <c r="AK654" s="50"/>
      <c r="AL654" s="16"/>
      <c r="AM654" s="52"/>
    </row>
    <row r="655" spans="2:39" ht="14" customHeight="1" x14ac:dyDescent="0.25">
      <c r="B655" s="21">
        <v>7</v>
      </c>
      <c r="C655" s="21" t="s">
        <v>322</v>
      </c>
      <c r="D655" s="50">
        <v>0.71</v>
      </c>
      <c r="E655" s="16">
        <v>1.8200000000000001E-2</v>
      </c>
      <c r="F655" s="55">
        <f>(D655-D915)/D915</f>
        <v>0.51063829787234039</v>
      </c>
      <c r="G655" s="55">
        <f>(D655-D681)/D681</f>
        <v>0.82051282051282037</v>
      </c>
      <c r="I655" s="21">
        <v>7</v>
      </c>
      <c r="J655" s="21" t="s">
        <v>127</v>
      </c>
      <c r="K655" s="57">
        <v>5.8</v>
      </c>
      <c r="L655" s="56">
        <v>2.06E-2</v>
      </c>
      <c r="M655" s="16">
        <f>(K655-K914)/K914</f>
        <v>0.2314225053078556</v>
      </c>
      <c r="N655" s="16"/>
      <c r="O655" s="21">
        <v>7</v>
      </c>
      <c r="P655" s="57" t="s">
        <v>322</v>
      </c>
      <c r="Q655" s="59">
        <v>2.72</v>
      </c>
      <c r="R655" s="53">
        <v>1.35E-2</v>
      </c>
      <c r="T655" s="21">
        <v>7</v>
      </c>
      <c r="U655" s="56" t="s">
        <v>103</v>
      </c>
      <c r="V655" s="49">
        <v>2.37</v>
      </c>
      <c r="W655" s="54">
        <v>2.53E-2</v>
      </c>
      <c r="AA655" s="21"/>
      <c r="AB655" s="21"/>
      <c r="AC655" s="50"/>
      <c r="AD655" s="16"/>
      <c r="AE655" s="52"/>
      <c r="AF655" s="55"/>
      <c r="AI655" s="21"/>
      <c r="AJ655" s="21"/>
      <c r="AK655" s="50"/>
      <c r="AL655" s="16"/>
      <c r="AM655" s="52"/>
    </row>
    <row r="656" spans="2:39" ht="14" customHeight="1" x14ac:dyDescent="0.25">
      <c r="B656" s="21">
        <v>8</v>
      </c>
      <c r="C656" s="21" t="s">
        <v>357</v>
      </c>
      <c r="D656" s="50">
        <v>0.55000000000000004</v>
      </c>
      <c r="E656" s="16">
        <v>1.4200000000000001E-2</v>
      </c>
      <c r="F656" s="55">
        <f>(D656-D914)/D914</f>
        <v>7.8431372549019676E-2</v>
      </c>
      <c r="G656" s="55">
        <f>(D656-D680)/D680</f>
        <v>0.12244897959183684</v>
      </c>
      <c r="I656" s="21">
        <v>8</v>
      </c>
      <c r="J656" s="21" t="s">
        <v>74</v>
      </c>
      <c r="K656" s="57">
        <v>5.5</v>
      </c>
      <c r="L656" s="56">
        <v>1.7299999999999999E-2</v>
      </c>
      <c r="M656" s="16">
        <f>(K656-K913)/K913</f>
        <v>8.9108910891089146E-2</v>
      </c>
      <c r="N656" s="16"/>
      <c r="O656" s="21">
        <v>8</v>
      </c>
      <c r="P656" s="57" t="s">
        <v>129</v>
      </c>
      <c r="Q656" s="58">
        <v>2.59</v>
      </c>
      <c r="R656" s="53">
        <v>1.29E-2</v>
      </c>
      <c r="T656" s="21">
        <v>8</v>
      </c>
      <c r="U656" s="56" t="s">
        <v>101</v>
      </c>
      <c r="V656" s="21">
        <v>0.86</v>
      </c>
      <c r="W656" s="54">
        <v>9.1999999999999998E-3</v>
      </c>
      <c r="AA656" s="21"/>
      <c r="AB656" s="21"/>
      <c r="AC656" s="21"/>
      <c r="AD656" s="21"/>
      <c r="AE656" s="53"/>
      <c r="AF656" s="53"/>
      <c r="AG656" s="53"/>
      <c r="AH656" s="15"/>
    </row>
    <row r="657" spans="2:38" ht="14" customHeight="1" x14ac:dyDescent="0.25">
      <c r="B657" s="21">
        <v>9</v>
      </c>
      <c r="C657" s="21" t="s">
        <v>323</v>
      </c>
      <c r="D657" s="50">
        <v>0.54</v>
      </c>
      <c r="E657" s="16">
        <v>1.37E-2</v>
      </c>
      <c r="F657" s="55"/>
      <c r="G657" s="55">
        <f t="shared" si="46"/>
        <v>-0.20588235294117649</v>
      </c>
      <c r="I657" s="21">
        <v>9</v>
      </c>
      <c r="J657" s="15" t="s">
        <v>185</v>
      </c>
      <c r="K657" s="57">
        <v>3.88</v>
      </c>
      <c r="L657" s="56">
        <v>1.2999999999999999E-2</v>
      </c>
      <c r="M657" s="16">
        <f>(K657-K914)/K914</f>
        <v>-0.17622080679405522</v>
      </c>
      <c r="N657" s="16"/>
      <c r="O657" s="21">
        <v>9</v>
      </c>
      <c r="P657" s="57" t="s">
        <v>74</v>
      </c>
      <c r="Q657" s="59">
        <v>2.57</v>
      </c>
      <c r="R657" s="53">
        <v>1.2800000000000001E-2</v>
      </c>
      <c r="T657" s="21">
        <v>9</v>
      </c>
      <c r="U657" s="56" t="s">
        <v>392</v>
      </c>
      <c r="V657" s="21">
        <v>0.83</v>
      </c>
      <c r="W657" s="54">
        <v>8.8999999999999999E-3</v>
      </c>
      <c r="AA657" s="21"/>
      <c r="AB657" s="21"/>
      <c r="AC657" s="21"/>
      <c r="AD657" s="21"/>
      <c r="AE657" s="53"/>
      <c r="AF657" s="53"/>
      <c r="AG657" s="53"/>
      <c r="AH657" s="15"/>
    </row>
    <row r="658" spans="2:38" ht="14" customHeight="1" x14ac:dyDescent="0.25">
      <c r="B658" s="21">
        <v>10</v>
      </c>
      <c r="C658" s="15" t="s">
        <v>181</v>
      </c>
      <c r="D658" s="50">
        <v>0.48</v>
      </c>
      <c r="E658" s="16">
        <v>1.21E-2</v>
      </c>
      <c r="F658" s="55">
        <f>(D658-D912)/D912</f>
        <v>-0.27272727272727276</v>
      </c>
      <c r="G658" s="55">
        <f>(D658-D678)/D678</f>
        <v>-0.4606741573033708</v>
      </c>
      <c r="I658" s="21">
        <v>10</v>
      </c>
      <c r="J658" s="21" t="s">
        <v>323</v>
      </c>
      <c r="K658" s="57">
        <v>3.76</v>
      </c>
      <c r="L658" s="56">
        <v>1.26E-2</v>
      </c>
      <c r="M658" s="16">
        <f>(K658-K917)/K917</f>
        <v>0.80769230769230749</v>
      </c>
      <c r="N658" s="16"/>
      <c r="O658" s="21">
        <v>10</v>
      </c>
      <c r="P658" s="57" t="s">
        <v>326</v>
      </c>
      <c r="Q658" s="58">
        <v>1.33</v>
      </c>
      <c r="R658" s="53">
        <v>6.6E-3</v>
      </c>
      <c r="T658" s="21">
        <v>10</v>
      </c>
      <c r="U658" s="56" t="s">
        <v>370</v>
      </c>
      <c r="V658" s="49">
        <v>0.79</v>
      </c>
      <c r="W658" s="54">
        <v>8.3999999999999995E-3</v>
      </c>
      <c r="AA658" s="21"/>
      <c r="AB658" s="21"/>
      <c r="AC658" s="21"/>
      <c r="AD658" s="21"/>
      <c r="AE658" s="53"/>
      <c r="AF658" s="53"/>
      <c r="AG658" s="53"/>
      <c r="AH658" s="15"/>
    </row>
    <row r="659" spans="2:38" ht="14" customHeight="1" x14ac:dyDescent="0.25">
      <c r="B659" s="21">
        <v>11</v>
      </c>
      <c r="C659" s="21" t="s">
        <v>127</v>
      </c>
      <c r="D659" s="50">
        <v>0.24</v>
      </c>
      <c r="E659" s="16">
        <v>6.3E-3</v>
      </c>
      <c r="F659" s="55">
        <f>(D659-D919)/D919</f>
        <v>0.26315789473684204</v>
      </c>
      <c r="G659" s="55">
        <f>(D659-D676)/D676</f>
        <v>-0.8125</v>
      </c>
      <c r="I659" s="21">
        <v>11</v>
      </c>
      <c r="J659" s="21" t="s">
        <v>322</v>
      </c>
      <c r="K659" s="57">
        <v>3.14</v>
      </c>
      <c r="L659" s="65">
        <v>9.4999999999999998E-3</v>
      </c>
      <c r="M659" s="16">
        <f>(K659-K915)/K915</f>
        <v>-0.25059665871121722</v>
      </c>
      <c r="N659" s="16"/>
      <c r="O659" s="21">
        <v>11</v>
      </c>
      <c r="P659" s="57" t="s">
        <v>408</v>
      </c>
      <c r="Q659" s="59">
        <v>0.28000000000000003</v>
      </c>
      <c r="R659" s="53">
        <v>1.4E-3</v>
      </c>
      <c r="T659" s="21">
        <v>11</v>
      </c>
      <c r="U659" s="56" t="s">
        <v>369</v>
      </c>
      <c r="V659" s="21">
        <v>0.43</v>
      </c>
      <c r="W659" s="54">
        <v>4.5999999999999999E-3</v>
      </c>
      <c r="AA659" s="21"/>
      <c r="AB659" s="21"/>
      <c r="AC659" s="21"/>
      <c r="AD659" s="21"/>
      <c r="AE659" s="53"/>
      <c r="AF659" s="53"/>
      <c r="AG659" s="53"/>
      <c r="AH659" s="15"/>
    </row>
    <row r="660" spans="2:38" ht="14" customHeight="1" x14ac:dyDescent="0.25">
      <c r="B660" s="21">
        <v>12</v>
      </c>
      <c r="C660" s="21" t="s">
        <v>326</v>
      </c>
      <c r="D660" s="50">
        <v>0.24</v>
      </c>
      <c r="E660" s="16">
        <v>6.0000000000000001E-3</v>
      </c>
      <c r="F660" s="55">
        <f>(D660-D921)/D921</f>
        <v>0.6</v>
      </c>
      <c r="G660" s="55">
        <f t="shared" si="46"/>
        <v>-7.6923076923076983E-2</v>
      </c>
      <c r="I660" s="21">
        <v>12</v>
      </c>
      <c r="J660" s="21" t="s">
        <v>326</v>
      </c>
      <c r="K660" s="57">
        <v>1.41</v>
      </c>
      <c r="L660" s="65">
        <v>4.5999999999999999E-3</v>
      </c>
      <c r="M660" s="16">
        <f>(K660-K921)/K921</f>
        <v>0.31775700934579426</v>
      </c>
      <c r="N660" s="16"/>
      <c r="O660" s="21">
        <v>12</v>
      </c>
      <c r="P660" s="57" t="s">
        <v>476</v>
      </c>
      <c r="Q660" s="59">
        <v>0.25</v>
      </c>
      <c r="R660" s="53">
        <v>1.2999999999999999E-3</v>
      </c>
      <c r="T660" s="21">
        <v>12</v>
      </c>
      <c r="U660" s="56" t="s">
        <v>58</v>
      </c>
      <c r="V660" s="21">
        <v>0.26</v>
      </c>
      <c r="W660" s="54">
        <v>2.7000000000000001E-3</v>
      </c>
      <c r="AA660" s="21"/>
      <c r="AB660" s="21"/>
      <c r="AC660" s="21"/>
      <c r="AD660" s="21"/>
      <c r="AE660" s="53"/>
      <c r="AF660" s="53"/>
      <c r="AG660" s="53"/>
      <c r="AH660" s="15"/>
    </row>
    <row r="661" spans="2:38" ht="14" customHeight="1" x14ac:dyDescent="0.25">
      <c r="B661" s="21">
        <v>13</v>
      </c>
      <c r="C661" s="21" t="s">
        <v>408</v>
      </c>
      <c r="D661" s="50">
        <v>0.06</v>
      </c>
      <c r="E661" s="16">
        <v>1.6000000000000001E-3</v>
      </c>
      <c r="F661" s="55"/>
      <c r="G661" s="55"/>
      <c r="I661" s="21">
        <v>13</v>
      </c>
      <c r="J661" s="56" t="s">
        <v>392</v>
      </c>
      <c r="K661" s="57">
        <v>0.88</v>
      </c>
      <c r="L661" s="65">
        <v>3.2000000000000002E-3</v>
      </c>
      <c r="M661" s="16">
        <f>(K661-K918)/K918</f>
        <v>-0.56218905472636815</v>
      </c>
      <c r="N661" s="16"/>
      <c r="O661" s="21">
        <v>13</v>
      </c>
      <c r="P661" s="57" t="s">
        <v>485</v>
      </c>
      <c r="Q661" s="59">
        <v>0.25</v>
      </c>
      <c r="R661" s="53">
        <v>1.2999999999999999E-3</v>
      </c>
      <c r="T661" s="21">
        <v>13</v>
      </c>
      <c r="U661" s="56" t="s">
        <v>399</v>
      </c>
      <c r="V661" s="49">
        <v>0.12</v>
      </c>
      <c r="W661" s="54">
        <v>1.1999999999999999E-3</v>
      </c>
      <c r="AA661" s="21"/>
      <c r="AB661" s="21"/>
      <c r="AC661" s="21"/>
      <c r="AD661" s="21"/>
      <c r="AE661" s="53"/>
      <c r="AF661" s="53"/>
      <c r="AG661" s="53"/>
      <c r="AH661" s="15"/>
    </row>
    <row r="662" spans="2:38" ht="14" customHeight="1" x14ac:dyDescent="0.25">
      <c r="B662" s="21">
        <v>14</v>
      </c>
      <c r="C662" s="21" t="s">
        <v>509</v>
      </c>
      <c r="D662" s="50">
        <v>0.06</v>
      </c>
      <c r="E662" s="16">
        <v>1.6000000000000001E-3</v>
      </c>
      <c r="F662" s="55">
        <f>(D662-D918)/D918</f>
        <v>-0.70000000000000007</v>
      </c>
      <c r="G662" s="55">
        <f>(D662-D685)/D685</f>
        <v>1</v>
      </c>
      <c r="I662" s="21">
        <v>14</v>
      </c>
      <c r="J662" s="21" t="s">
        <v>426</v>
      </c>
      <c r="K662" s="57">
        <v>0.28000000000000003</v>
      </c>
      <c r="L662" s="65">
        <v>1.1000000000000001E-3</v>
      </c>
      <c r="M662" s="16">
        <f>(K662-K920)/K920</f>
        <v>-0.75221238938053092</v>
      </c>
      <c r="N662" s="16"/>
      <c r="O662" s="21">
        <v>14</v>
      </c>
      <c r="P662" s="57" t="s">
        <v>426</v>
      </c>
      <c r="Q662" s="59">
        <v>0.17</v>
      </c>
      <c r="R662" s="53">
        <v>8.0000000000000004E-4</v>
      </c>
      <c r="T662" s="21">
        <v>14</v>
      </c>
      <c r="U662" s="56" t="s">
        <v>504</v>
      </c>
      <c r="V662" s="49">
        <v>0.1</v>
      </c>
      <c r="W662" s="54">
        <v>1E-3</v>
      </c>
      <c r="AA662" s="21"/>
      <c r="AB662" s="21"/>
      <c r="AC662" s="21"/>
      <c r="AD662" s="21"/>
      <c r="AE662" s="53"/>
      <c r="AF662" s="53"/>
      <c r="AG662" s="53"/>
      <c r="AH662" s="15"/>
    </row>
    <row r="663" spans="2:38" ht="14" customHeight="1" x14ac:dyDescent="0.25">
      <c r="B663" s="21">
        <v>15</v>
      </c>
      <c r="C663" s="21" t="s">
        <v>493</v>
      </c>
      <c r="D663" s="50">
        <v>0.05</v>
      </c>
      <c r="E663" s="16">
        <v>1.1999999999999999E-3</v>
      </c>
      <c r="F663" s="55"/>
      <c r="G663" s="55"/>
      <c r="I663" s="21">
        <v>15</v>
      </c>
      <c r="J663" s="21" t="s">
        <v>58</v>
      </c>
      <c r="K663" s="57">
        <v>0.28000000000000003</v>
      </c>
      <c r="L663" s="65">
        <v>8.9999999999999998E-4</v>
      </c>
      <c r="M663" s="16"/>
      <c r="N663" s="16"/>
      <c r="O663" s="21">
        <v>15</v>
      </c>
      <c r="P663" s="57" t="s">
        <v>471</v>
      </c>
      <c r="Q663" s="59">
        <v>0.11</v>
      </c>
      <c r="R663" s="53">
        <v>5.0000000000000001E-4</v>
      </c>
      <c r="T663" s="21">
        <v>15</v>
      </c>
      <c r="U663" s="56" t="s">
        <v>329</v>
      </c>
      <c r="V663" s="21">
        <v>0.08</v>
      </c>
      <c r="W663" s="54">
        <v>8.0000000000000004E-4</v>
      </c>
      <c r="AA663" s="21"/>
      <c r="AB663" s="21"/>
      <c r="AC663" s="21"/>
      <c r="AD663" s="21"/>
      <c r="AE663" s="53"/>
      <c r="AF663" s="53"/>
      <c r="AG663" s="53"/>
      <c r="AH663" s="15"/>
    </row>
    <row r="664" spans="2:38" ht="14" customHeight="1" x14ac:dyDescent="0.25">
      <c r="B664" s="21"/>
      <c r="C664" s="21" t="s">
        <v>77</v>
      </c>
      <c r="D664" s="50">
        <f>D665-SUM(D649:D663)</f>
        <v>0.23000000000000398</v>
      </c>
      <c r="E664" s="16">
        <v>1.8E-3</v>
      </c>
      <c r="F664" s="52"/>
      <c r="G664" s="55">
        <f>(D664-D686)/D686</f>
        <v>0.64285714285724804</v>
      </c>
      <c r="I664" s="21"/>
      <c r="J664" s="21" t="s">
        <v>77</v>
      </c>
      <c r="K664" s="50">
        <f>K665-SUM(K649:K663)</f>
        <v>1.8800000000000523</v>
      </c>
      <c r="L664" s="65">
        <f>L665-SUM(L649:L663)</f>
        <v>6.0999999999998833E-3</v>
      </c>
      <c r="M664" s="16"/>
      <c r="N664" s="16"/>
      <c r="P664" s="21" t="s">
        <v>77</v>
      </c>
      <c r="Q664" s="50">
        <f>Q665-SUM(Q649:Q663)</f>
        <v>0.37000000000000455</v>
      </c>
      <c r="R664" s="65">
        <f>R665-SUM(R649:R663)</f>
        <v>1.6000000000000458E-3</v>
      </c>
      <c r="T664" s="56"/>
      <c r="U664" s="21" t="s">
        <v>77</v>
      </c>
      <c r="V664" s="50">
        <f>V665-SUM(V649:V663)</f>
        <v>0.30000000000001137</v>
      </c>
      <c r="W664" s="65">
        <f>W665-SUM(W649:W663)</f>
        <v>3.4000000000000696E-3</v>
      </c>
    </row>
    <row r="665" spans="2:38" ht="14" customHeight="1" x14ac:dyDescent="0.25">
      <c r="B665" s="21"/>
      <c r="C665" s="21" t="s">
        <v>78</v>
      </c>
      <c r="D665" s="50">
        <v>39.200000000000003</v>
      </c>
      <c r="E665" s="16">
        <f>D665/D665</f>
        <v>1</v>
      </c>
      <c r="F665" s="52"/>
      <c r="G665" s="55">
        <f>(D665-D687)/D687</f>
        <v>7.6923076923077038E-2</v>
      </c>
      <c r="I665" s="21"/>
      <c r="J665" s="21" t="s">
        <v>78</v>
      </c>
      <c r="K665" s="57">
        <v>294.89999999999998</v>
      </c>
      <c r="L665" s="65">
        <v>1</v>
      </c>
      <c r="M665" s="16"/>
      <c r="N665" s="16"/>
      <c r="P665" s="21" t="s">
        <v>78</v>
      </c>
      <c r="Q665" s="57">
        <v>200.7</v>
      </c>
      <c r="R665" s="65">
        <v>1</v>
      </c>
      <c r="S665" s="228"/>
      <c r="U665" s="21" t="s">
        <v>78</v>
      </c>
      <c r="V665" s="57">
        <v>93.9</v>
      </c>
      <c r="W665" s="65">
        <v>1</v>
      </c>
      <c r="X665" s="228"/>
    </row>
    <row r="666" spans="2:38" ht="14" customHeight="1" x14ac:dyDescent="0.25">
      <c r="B666" s="21"/>
      <c r="D666" s="50"/>
      <c r="E666" s="16"/>
      <c r="F666" s="55"/>
      <c r="G666" s="55"/>
      <c r="J666" s="43"/>
      <c r="O666" s="227"/>
      <c r="X666" s="227"/>
    </row>
    <row r="667" spans="2:38" ht="14" customHeight="1" x14ac:dyDescent="0.25">
      <c r="B667" s="21"/>
      <c r="C667" s="21"/>
      <c r="D667" s="50"/>
      <c r="E667" s="16"/>
      <c r="F667" s="55"/>
      <c r="G667" s="55"/>
      <c r="J667" s="43"/>
      <c r="O667" s="227"/>
      <c r="X667" s="227"/>
    </row>
    <row r="668" spans="2:38" ht="14" customHeight="1" x14ac:dyDescent="0.25">
      <c r="B668" s="21"/>
      <c r="C668" s="21"/>
      <c r="D668" s="50"/>
      <c r="E668" s="16"/>
      <c r="F668" s="55"/>
      <c r="G668" s="55"/>
      <c r="J668" s="43"/>
      <c r="O668" s="227"/>
      <c r="X668" s="227"/>
    </row>
    <row r="669" spans="2:38" ht="14" customHeight="1" x14ac:dyDescent="0.25">
      <c r="B669" s="15" t="s">
        <v>510</v>
      </c>
      <c r="C669" s="21"/>
      <c r="D669" s="50"/>
      <c r="E669" s="16"/>
      <c r="F669" s="52"/>
      <c r="G669" s="55"/>
      <c r="I669" s="15" t="s">
        <v>511</v>
      </c>
      <c r="O669" s="25" t="s">
        <v>512</v>
      </c>
      <c r="T669" s="25" t="s">
        <v>513</v>
      </c>
      <c r="AA669" s="25"/>
      <c r="AB669" s="15"/>
      <c r="AC669" s="15"/>
      <c r="AD669" s="15"/>
      <c r="AE669" s="15"/>
      <c r="AF669" s="15"/>
      <c r="AI669" s="25"/>
      <c r="AJ669" s="15"/>
      <c r="AK669" s="15"/>
      <c r="AL669" s="15"/>
    </row>
    <row r="670" spans="2:38" ht="14" customHeight="1" x14ac:dyDescent="0.25">
      <c r="B670" s="21" t="s">
        <v>334</v>
      </c>
      <c r="C670" s="21" t="s">
        <v>335</v>
      </c>
      <c r="D670" s="9" t="s">
        <v>436</v>
      </c>
      <c r="E670" s="21" t="s">
        <v>337</v>
      </c>
      <c r="F670" s="21" t="s">
        <v>423</v>
      </c>
      <c r="G670" s="21" t="s">
        <v>424</v>
      </c>
      <c r="I670" s="21" t="s">
        <v>334</v>
      </c>
      <c r="J670" s="21" t="s">
        <v>335</v>
      </c>
      <c r="K670" s="9" t="s">
        <v>437</v>
      </c>
      <c r="L670" s="21" t="s">
        <v>337</v>
      </c>
      <c r="M670" s="21" t="s">
        <v>423</v>
      </c>
      <c r="N670" s="21"/>
      <c r="O670" s="21" t="s">
        <v>334</v>
      </c>
      <c r="P670" s="21" t="s">
        <v>335</v>
      </c>
      <c r="Q670" s="50" t="s">
        <v>438</v>
      </c>
      <c r="R670" s="56" t="s">
        <v>384</v>
      </c>
      <c r="S670" s="21"/>
      <c r="T670" s="21" t="s">
        <v>334</v>
      </c>
      <c r="U670" s="56" t="s">
        <v>381</v>
      </c>
      <c r="V670" s="21" t="s">
        <v>438</v>
      </c>
      <c r="W670" s="57" t="s">
        <v>337</v>
      </c>
      <c r="X670" s="21"/>
      <c r="AA670" s="21"/>
      <c r="AB670" s="21"/>
      <c r="AC670" s="9"/>
      <c r="AD670" s="21"/>
      <c r="AE670" s="21"/>
      <c r="AF670" s="21"/>
      <c r="AI670" s="21"/>
      <c r="AJ670" s="21"/>
      <c r="AK670" s="9"/>
      <c r="AL670" s="21"/>
    </row>
    <row r="671" spans="2:38" ht="14" customHeight="1" x14ac:dyDescent="0.25">
      <c r="B671" s="21">
        <v>1</v>
      </c>
      <c r="C671" s="21" t="s">
        <v>68</v>
      </c>
      <c r="D671" s="50">
        <v>14.35</v>
      </c>
      <c r="E671" s="16">
        <v>0.39410000000000001</v>
      </c>
      <c r="F671" s="55">
        <f>(D671-D927)/D927</f>
        <v>-5.0925925925925902E-2</v>
      </c>
      <c r="G671" s="55">
        <f>(D671-D693)/D693</f>
        <v>-7.1197411003236233E-2</v>
      </c>
      <c r="I671" s="21">
        <v>1</v>
      </c>
      <c r="J671" s="21" t="s">
        <v>68</v>
      </c>
      <c r="K671" s="57">
        <v>109.3</v>
      </c>
      <c r="L671" s="56">
        <v>0.42749999999999999</v>
      </c>
      <c r="M671" s="16">
        <f>(K671-K927)/K927</f>
        <v>0.18778526407302762</v>
      </c>
      <c r="N671" s="16"/>
      <c r="O671" s="21">
        <v>1</v>
      </c>
      <c r="P671" s="57" t="s">
        <v>69</v>
      </c>
      <c r="Q671" s="59">
        <v>73.989999999999995</v>
      </c>
      <c r="R671" s="53">
        <v>0.42559999999999998</v>
      </c>
      <c r="T671" s="21">
        <v>1</v>
      </c>
      <c r="U671" s="56" t="s">
        <v>98</v>
      </c>
      <c r="V671" s="21">
        <v>50.67</v>
      </c>
      <c r="W671" s="54">
        <v>0.62270000000000003</v>
      </c>
      <c r="AA671" s="21"/>
      <c r="AB671" s="21"/>
      <c r="AC671" s="50"/>
      <c r="AD671" s="16"/>
      <c r="AE671" s="55"/>
      <c r="AF671" s="55"/>
      <c r="AI671" s="21"/>
      <c r="AJ671" s="21"/>
      <c r="AK671" s="50"/>
      <c r="AL671" s="55"/>
    </row>
    <row r="672" spans="2:38" ht="14" customHeight="1" x14ac:dyDescent="0.25">
      <c r="B672" s="21">
        <v>2</v>
      </c>
      <c r="C672" s="21" t="s">
        <v>69</v>
      </c>
      <c r="D672" s="50">
        <v>9.83</v>
      </c>
      <c r="E672" s="16">
        <v>0.27</v>
      </c>
      <c r="F672" s="55">
        <f>(D672-D928)/D928</f>
        <v>0.38450704225352123</v>
      </c>
      <c r="G672" s="55">
        <f>(D672-D694)/D694</f>
        <v>4.463336875664186E-2</v>
      </c>
      <c r="I672" s="21">
        <v>2</v>
      </c>
      <c r="J672" s="21" t="s">
        <v>69</v>
      </c>
      <c r="K672" s="57">
        <v>74</v>
      </c>
      <c r="L672" s="56">
        <v>0.28939999999999999</v>
      </c>
      <c r="M672" s="16">
        <f>(K672-K928)/K928</f>
        <v>0.71853228053878304</v>
      </c>
      <c r="N672" s="16"/>
      <c r="O672" s="21">
        <v>2</v>
      </c>
      <c r="P672" s="57" t="s">
        <v>68</v>
      </c>
      <c r="Q672" s="59">
        <v>58.63</v>
      </c>
      <c r="R672" s="53">
        <v>0.33729999999999999</v>
      </c>
      <c r="T672" s="21">
        <v>2</v>
      </c>
      <c r="U672" s="56" t="s">
        <v>100</v>
      </c>
      <c r="V672" s="21">
        <v>11.08</v>
      </c>
      <c r="W672" s="54">
        <v>0.13900000000000001</v>
      </c>
      <c r="AA672" s="21"/>
      <c r="AB672" s="21"/>
      <c r="AC672" s="50"/>
      <c r="AD672" s="16"/>
      <c r="AE672" s="55"/>
      <c r="AF672" s="55"/>
      <c r="AI672" s="21"/>
      <c r="AJ672" s="21"/>
      <c r="AK672" s="50"/>
      <c r="AL672" s="55"/>
    </row>
    <row r="673" spans="2:38" ht="14" customHeight="1" x14ac:dyDescent="0.25">
      <c r="B673" s="21">
        <v>3</v>
      </c>
      <c r="C673" s="21" t="s">
        <v>71</v>
      </c>
      <c r="D673" s="50">
        <v>3.66</v>
      </c>
      <c r="E673" s="16">
        <v>0.10059999999999999</v>
      </c>
      <c r="F673" s="55">
        <f>(D673-D929)/D929</f>
        <v>0.87692307692307703</v>
      </c>
      <c r="G673" s="55">
        <f>(D673-D695)/D695</f>
        <v>8.2840236686390609E-2</v>
      </c>
      <c r="I673" s="21">
        <v>3</v>
      </c>
      <c r="J673" s="21" t="s">
        <v>71</v>
      </c>
      <c r="K673" s="57">
        <v>22.81</v>
      </c>
      <c r="L673" s="56">
        <v>8.9200000000000002E-2</v>
      </c>
      <c r="M673" s="16">
        <f>(K673-K929)/K929</f>
        <v>0.71117779444861207</v>
      </c>
      <c r="N673" s="16"/>
      <c r="O673" s="21">
        <v>3</v>
      </c>
      <c r="P673" s="57" t="s">
        <v>71</v>
      </c>
      <c r="Q673" s="58">
        <v>11.73</v>
      </c>
      <c r="R673" s="53">
        <v>6.7500000000000004E-2</v>
      </c>
      <c r="T673" s="21">
        <v>3</v>
      </c>
      <c r="U673" s="21" t="s">
        <v>127</v>
      </c>
      <c r="V673" s="21">
        <v>5.26</v>
      </c>
      <c r="W673" s="54">
        <v>5.7299999999999997E-2</v>
      </c>
      <c r="AA673" s="21"/>
      <c r="AB673" s="21"/>
      <c r="AC673" s="50"/>
      <c r="AD673" s="16"/>
      <c r="AE673" s="55"/>
      <c r="AF673" s="55"/>
      <c r="AI673" s="21"/>
      <c r="AJ673" s="21"/>
      <c r="AK673" s="50"/>
      <c r="AL673" s="55"/>
    </row>
    <row r="674" spans="2:38" ht="14" customHeight="1" x14ac:dyDescent="0.25">
      <c r="B674" s="21">
        <v>4</v>
      </c>
      <c r="C674" s="21" t="s">
        <v>73</v>
      </c>
      <c r="D674" s="50">
        <v>1.84</v>
      </c>
      <c r="E674" s="16">
        <v>5.0599999999999999E-2</v>
      </c>
      <c r="F674" s="55">
        <f>(D674-D933)/D933</f>
        <v>1.4864864864864866</v>
      </c>
      <c r="G674" s="55">
        <f>(D674-D697)/D697</f>
        <v>0.50819672131147553</v>
      </c>
      <c r="I674" s="21">
        <v>4</v>
      </c>
      <c r="J674" s="21" t="s">
        <v>73</v>
      </c>
      <c r="K674" s="57">
        <v>11</v>
      </c>
      <c r="L674" s="56">
        <v>4.2999999999999997E-2</v>
      </c>
      <c r="M674" s="16">
        <f>(K674-K934)/K934</f>
        <v>1.4886877828054299</v>
      </c>
      <c r="N674" s="16"/>
      <c r="O674" s="21">
        <v>4</v>
      </c>
      <c r="P674" s="57" t="s">
        <v>70</v>
      </c>
      <c r="Q674" s="59">
        <v>9.26</v>
      </c>
      <c r="R674" s="53">
        <v>5.33E-2</v>
      </c>
      <c r="T674" s="21">
        <v>4</v>
      </c>
      <c r="U674" s="56" t="s">
        <v>181</v>
      </c>
      <c r="V674" s="21">
        <v>3.37</v>
      </c>
      <c r="W674" s="54">
        <v>4.19E-2</v>
      </c>
      <c r="AA674" s="21"/>
      <c r="AB674" s="21"/>
      <c r="AC674" s="50"/>
      <c r="AD674" s="16"/>
      <c r="AE674" s="55"/>
      <c r="AF674" s="55"/>
      <c r="AI674" s="21"/>
      <c r="AJ674" s="21"/>
      <c r="AK674" s="50"/>
      <c r="AL674" s="55"/>
    </row>
    <row r="675" spans="2:38" ht="14" customHeight="1" x14ac:dyDescent="0.25">
      <c r="B675" s="21">
        <v>5</v>
      </c>
      <c r="C675" s="21" t="s">
        <v>70</v>
      </c>
      <c r="D675" s="50">
        <v>1.47</v>
      </c>
      <c r="E675" s="16">
        <v>4.0399999999999998E-2</v>
      </c>
      <c r="F675" s="55">
        <f>(D675-D930)/D930</f>
        <v>7.2992700729926904E-2</v>
      </c>
      <c r="G675" s="55">
        <f>(D675-D696)/D696</f>
        <v>0.18548387096774191</v>
      </c>
      <c r="I675" s="21">
        <v>5</v>
      </c>
      <c r="J675" s="21" t="s">
        <v>70</v>
      </c>
      <c r="K675" s="57">
        <v>10.02</v>
      </c>
      <c r="L675" s="56">
        <v>3.9199999999999999E-2</v>
      </c>
      <c r="M675" s="16">
        <f>(K675-K930)/K930</f>
        <v>7.1657754010695185E-2</v>
      </c>
      <c r="N675" s="16"/>
      <c r="O675" s="21">
        <v>5</v>
      </c>
      <c r="P675" s="57" t="s">
        <v>73</v>
      </c>
      <c r="Q675" s="59">
        <v>8.99</v>
      </c>
      <c r="R675" s="53">
        <v>5.1700000000000003E-2</v>
      </c>
      <c r="T675" s="21">
        <v>5</v>
      </c>
      <c r="U675" s="56" t="s">
        <v>185</v>
      </c>
      <c r="V675" s="21">
        <v>3.33</v>
      </c>
      <c r="W675" s="54">
        <v>4.0899999999999999E-2</v>
      </c>
      <c r="AA675" s="21"/>
      <c r="AB675" s="21"/>
      <c r="AC675" s="50"/>
      <c r="AD675" s="16"/>
      <c r="AE675" s="55"/>
      <c r="AF675" s="55"/>
      <c r="AI675" s="21"/>
      <c r="AJ675" s="21"/>
      <c r="AK675" s="50"/>
      <c r="AL675" s="55"/>
    </row>
    <row r="676" spans="2:38" ht="14" customHeight="1" x14ac:dyDescent="0.25">
      <c r="B676" s="21">
        <v>6</v>
      </c>
      <c r="C676" s="21" t="s">
        <v>127</v>
      </c>
      <c r="D676" s="50">
        <v>1.28</v>
      </c>
      <c r="E676" s="16">
        <v>3.5200000000000002E-2</v>
      </c>
      <c r="F676" s="55">
        <f>(D676-D931)/D931</f>
        <v>0.36170212765957455</v>
      </c>
      <c r="G676" s="55">
        <f>(D676-D700)/D700</f>
        <v>0.96923076923076923</v>
      </c>
      <c r="I676" s="21">
        <v>6</v>
      </c>
      <c r="J676" s="21" t="s">
        <v>129</v>
      </c>
      <c r="K676" s="57">
        <v>5.83</v>
      </c>
      <c r="L676" s="56">
        <v>2.2800000000000001E-2</v>
      </c>
      <c r="M676" s="16">
        <f>(K676-K931)/K931</f>
        <v>0.30133928571428559</v>
      </c>
      <c r="N676" s="16"/>
      <c r="O676" s="21">
        <v>6</v>
      </c>
      <c r="P676" s="57" t="s">
        <v>323</v>
      </c>
      <c r="Q676" s="59">
        <v>2.52</v>
      </c>
      <c r="R676" s="53">
        <v>1.4500000000000001E-2</v>
      </c>
      <c r="T676" s="21">
        <v>6</v>
      </c>
      <c r="U676" s="56" t="s">
        <v>104</v>
      </c>
      <c r="V676" s="21">
        <v>2.4300000000000002</v>
      </c>
      <c r="W676" s="54">
        <v>2.7199999999999998E-2</v>
      </c>
      <c r="AA676" s="21"/>
      <c r="AB676" s="21"/>
      <c r="AC676" s="50"/>
      <c r="AD676" s="16"/>
      <c r="AE676" s="52"/>
      <c r="AF676" s="55"/>
      <c r="AI676" s="21"/>
      <c r="AJ676" s="21"/>
      <c r="AK676" s="50"/>
      <c r="AL676" s="16"/>
    </row>
    <row r="677" spans="2:38" ht="14" customHeight="1" x14ac:dyDescent="0.25">
      <c r="B677" s="21">
        <v>7</v>
      </c>
      <c r="C677" s="21" t="s">
        <v>74</v>
      </c>
      <c r="D677" s="50">
        <v>0.99</v>
      </c>
      <c r="E677" s="16">
        <v>2.7300000000000001E-2</v>
      </c>
      <c r="F677" s="55">
        <f>(D677-D935)/D935</f>
        <v>0.49999999999999989</v>
      </c>
      <c r="G677" s="55">
        <f>(D677-D698)/D698</f>
        <v>0.25316455696202522</v>
      </c>
      <c r="I677" s="21">
        <v>7</v>
      </c>
      <c r="J677" s="21" t="s">
        <v>127</v>
      </c>
      <c r="K677" s="57">
        <v>5.26</v>
      </c>
      <c r="L677" s="56">
        <v>2.06E-2</v>
      </c>
      <c r="M677" s="16">
        <f>(K677-K932)/K932</f>
        <v>0.1637168141592921</v>
      </c>
      <c r="N677" s="16"/>
      <c r="O677" s="21">
        <v>7</v>
      </c>
      <c r="P677" s="57" t="s">
        <v>129</v>
      </c>
      <c r="Q677" s="59">
        <v>2.46</v>
      </c>
      <c r="R677" s="53">
        <v>1.41E-2</v>
      </c>
      <c r="T677" s="21">
        <v>7</v>
      </c>
      <c r="U677" s="56" t="s">
        <v>103</v>
      </c>
      <c r="V677" s="49">
        <v>2</v>
      </c>
      <c r="W677" s="54">
        <v>2.5600000000000001E-2</v>
      </c>
      <c r="AA677" s="21"/>
      <c r="AB677" s="21"/>
      <c r="AC677" s="50"/>
      <c r="AD677" s="16"/>
      <c r="AE677" s="52"/>
      <c r="AF677" s="55"/>
      <c r="AI677" s="21"/>
      <c r="AJ677" s="21"/>
      <c r="AK677" s="50"/>
      <c r="AL677" s="16"/>
    </row>
    <row r="678" spans="2:38" ht="14" customHeight="1" x14ac:dyDescent="0.25">
      <c r="B678" s="21">
        <v>8</v>
      </c>
      <c r="C678" s="21" t="s">
        <v>129</v>
      </c>
      <c r="D678" s="50">
        <v>0.89</v>
      </c>
      <c r="E678" s="16">
        <v>2.4299999999999999E-2</v>
      </c>
      <c r="F678" s="55">
        <f>(D678-D932)/D932</f>
        <v>0.11249999999999996</v>
      </c>
      <c r="G678" s="55">
        <f>(D678-D701)/D701</f>
        <v>0.390625</v>
      </c>
      <c r="I678" s="21">
        <v>8</v>
      </c>
      <c r="J678" s="21" t="s">
        <v>74</v>
      </c>
      <c r="K678" s="57">
        <v>4.41</v>
      </c>
      <c r="L678" s="56">
        <v>1.7299999999999999E-2</v>
      </c>
      <c r="M678" s="16">
        <f>(K678-K933)/K933</f>
        <v>-2.4336283185840586E-2</v>
      </c>
      <c r="N678" s="16"/>
      <c r="O678" s="21">
        <v>8</v>
      </c>
      <c r="P678" s="57" t="s">
        <v>322</v>
      </c>
      <c r="Q678" s="58">
        <v>2</v>
      </c>
      <c r="R678" s="53">
        <v>1.15E-2</v>
      </c>
      <c r="T678" s="21">
        <v>8</v>
      </c>
      <c r="U678" s="56" t="s">
        <v>392</v>
      </c>
      <c r="V678" s="21">
        <v>0.77</v>
      </c>
      <c r="W678" s="54">
        <v>1.0699999999999999E-2</v>
      </c>
      <c r="AA678" s="21"/>
      <c r="AB678" s="21"/>
      <c r="AC678" s="21"/>
      <c r="AD678" s="21"/>
      <c r="AE678" s="53"/>
      <c r="AF678" s="53"/>
      <c r="AG678" s="53"/>
      <c r="AH678" s="15"/>
    </row>
    <row r="679" spans="2:38" ht="14" customHeight="1" x14ac:dyDescent="0.25">
      <c r="B679" s="21">
        <v>9</v>
      </c>
      <c r="C679" s="21" t="s">
        <v>323</v>
      </c>
      <c r="D679" s="50">
        <v>0.68</v>
      </c>
      <c r="E679" s="16">
        <v>1.8700000000000001E-2</v>
      </c>
      <c r="F679" s="55">
        <f>(D679-D936)/D936</f>
        <v>0.17241379310344845</v>
      </c>
      <c r="G679" s="55">
        <f>(D679-D699)/D699</f>
        <v>-6.849315068493142E-2</v>
      </c>
      <c r="I679" s="21">
        <v>9</v>
      </c>
      <c r="J679" s="15" t="s">
        <v>185</v>
      </c>
      <c r="K679" s="57">
        <v>3.33</v>
      </c>
      <c r="L679" s="56">
        <v>1.2999999999999999E-2</v>
      </c>
      <c r="M679" s="16">
        <f>(K679-K935)/K935</f>
        <v>-9.5108695652173933E-2</v>
      </c>
      <c r="N679" s="16"/>
      <c r="O679" s="21">
        <v>9</v>
      </c>
      <c r="P679" s="57" t="s">
        <v>74</v>
      </c>
      <c r="Q679" s="59">
        <v>1.97</v>
      </c>
      <c r="R679" s="53">
        <v>1.1299999999999999E-2</v>
      </c>
      <c r="T679" s="21">
        <v>9</v>
      </c>
      <c r="U679" s="56" t="s">
        <v>101</v>
      </c>
      <c r="V679" s="21">
        <v>0.76</v>
      </c>
      <c r="W679" s="54">
        <v>9.4000000000000004E-3</v>
      </c>
      <c r="AA679" s="21"/>
      <c r="AB679" s="21"/>
      <c r="AC679" s="21"/>
      <c r="AD679" s="21"/>
      <c r="AE679" s="53"/>
      <c r="AF679" s="53"/>
      <c r="AG679" s="53"/>
      <c r="AH679" s="15"/>
    </row>
    <row r="680" spans="2:38" ht="14" customHeight="1" x14ac:dyDescent="0.25">
      <c r="B680" s="21">
        <v>10</v>
      </c>
      <c r="C680" s="15" t="s">
        <v>185</v>
      </c>
      <c r="D680" s="50">
        <v>0.49</v>
      </c>
      <c r="E680" s="16">
        <v>1.35E-2</v>
      </c>
      <c r="F680" s="55">
        <f>(D680-D937)/D937</f>
        <v>-5.7692307692307744E-2</v>
      </c>
      <c r="G680" s="55">
        <f>(D680-D702)/D702</f>
        <v>-7.5471698113207614E-2</v>
      </c>
      <c r="I680" s="21">
        <v>10</v>
      </c>
      <c r="J680" s="21" t="s">
        <v>323</v>
      </c>
      <c r="K680" s="57">
        <v>3.22</v>
      </c>
      <c r="L680" s="56">
        <v>1.26E-2</v>
      </c>
      <c r="M680" s="16">
        <f>(K680-K937)/K937</f>
        <v>0.75956284153005471</v>
      </c>
      <c r="N680" s="16"/>
      <c r="O680" s="21">
        <v>10</v>
      </c>
      <c r="P680" s="57" t="s">
        <v>326</v>
      </c>
      <c r="Q680" s="58">
        <v>1.1000000000000001</v>
      </c>
      <c r="R680" s="53">
        <v>6.3E-3</v>
      </c>
      <c r="T680" s="21">
        <v>10</v>
      </c>
      <c r="U680" s="56" t="s">
        <v>370</v>
      </c>
      <c r="V680" s="49">
        <v>0.7</v>
      </c>
      <c r="W680" s="54">
        <v>8.9999999999999993E-3</v>
      </c>
      <c r="AA680" s="21"/>
      <c r="AB680" s="21"/>
      <c r="AC680" s="21"/>
      <c r="AD680" s="21"/>
      <c r="AE680" s="53"/>
      <c r="AF680" s="53"/>
      <c r="AG680" s="53"/>
      <c r="AH680" s="15"/>
    </row>
    <row r="681" spans="2:38" ht="14" customHeight="1" x14ac:dyDescent="0.25">
      <c r="B681" s="21">
        <v>11</v>
      </c>
      <c r="C681" s="21" t="s">
        <v>322</v>
      </c>
      <c r="D681" s="50">
        <v>0.39</v>
      </c>
      <c r="E681" s="16">
        <v>1.0699999999999999E-2</v>
      </c>
      <c r="F681" s="55">
        <f>(D681-D934)/D934</f>
        <v>-0.40909090909090912</v>
      </c>
      <c r="G681" s="55">
        <f>(D681-D703)/D703</f>
        <v>-9.3023255813953445E-2</v>
      </c>
      <c r="I681" s="21">
        <v>11</v>
      </c>
      <c r="J681" s="21" t="s">
        <v>322</v>
      </c>
      <c r="K681" s="57">
        <v>2.4300000000000002</v>
      </c>
      <c r="L681" s="65">
        <v>9.4999999999999998E-3</v>
      </c>
      <c r="M681" s="16">
        <f>(K681-K936)/K936</f>
        <v>-0.22857142857142851</v>
      </c>
      <c r="N681" s="16"/>
      <c r="O681" s="21">
        <v>11</v>
      </c>
      <c r="P681" s="57" t="s">
        <v>514</v>
      </c>
      <c r="Q681" s="59">
        <v>0.22</v>
      </c>
      <c r="R681" s="53">
        <v>1.2999999999999999E-3</v>
      </c>
      <c r="T681" s="21">
        <v>11</v>
      </c>
      <c r="U681" s="56" t="s">
        <v>369</v>
      </c>
      <c r="V681" s="21">
        <v>0.43</v>
      </c>
      <c r="W681" s="54">
        <v>5.8999999999999999E-3</v>
      </c>
      <c r="AA681" s="21"/>
      <c r="AB681" s="21"/>
      <c r="AC681" s="21"/>
      <c r="AD681" s="21"/>
      <c r="AE681" s="53"/>
      <c r="AF681" s="53"/>
      <c r="AG681" s="53"/>
      <c r="AH681" s="15"/>
    </row>
    <row r="682" spans="2:38" ht="14" customHeight="1" x14ac:dyDescent="0.25">
      <c r="B682" s="21">
        <v>12</v>
      </c>
      <c r="C682" s="21" t="s">
        <v>326</v>
      </c>
      <c r="D682" s="50">
        <v>0.26</v>
      </c>
      <c r="E682" s="16">
        <v>7.1000000000000004E-3</v>
      </c>
      <c r="F682" s="55">
        <f>(D682-D939)/D939</f>
        <v>0.85714285714285698</v>
      </c>
      <c r="G682" s="55">
        <f>(D682-D704)/D704</f>
        <v>0.18181818181818185</v>
      </c>
      <c r="I682" s="21">
        <v>12</v>
      </c>
      <c r="J682" s="21" t="s">
        <v>326</v>
      </c>
      <c r="K682" s="57">
        <v>1.17</v>
      </c>
      <c r="L682" s="65">
        <v>4.5999999999999999E-3</v>
      </c>
      <c r="M682" s="16">
        <f>(K682-K939)/K939</f>
        <v>-0.19863013698630139</v>
      </c>
      <c r="N682" s="16"/>
      <c r="O682" s="21">
        <v>12</v>
      </c>
      <c r="P682" s="57" t="s">
        <v>408</v>
      </c>
      <c r="Q682" s="59">
        <v>0.22</v>
      </c>
      <c r="R682" s="53">
        <v>1.2999999999999999E-3</v>
      </c>
      <c r="T682" s="21">
        <v>12</v>
      </c>
      <c r="U682" s="56" t="s">
        <v>58</v>
      </c>
      <c r="V682" s="21">
        <v>0.23</v>
      </c>
      <c r="W682" s="54">
        <v>2.7000000000000001E-3</v>
      </c>
      <c r="AA682" s="21"/>
      <c r="AB682" s="21"/>
      <c r="AC682" s="21"/>
      <c r="AD682" s="21"/>
      <c r="AE682" s="53"/>
      <c r="AF682" s="53"/>
      <c r="AG682" s="53"/>
      <c r="AH682" s="15"/>
    </row>
    <row r="683" spans="2:38" ht="14" customHeight="1" x14ac:dyDescent="0.25">
      <c r="B683" s="21">
        <v>13</v>
      </c>
      <c r="C683" s="21" t="s">
        <v>476</v>
      </c>
      <c r="D683" s="50">
        <v>0.06</v>
      </c>
      <c r="E683" s="16">
        <v>1.8E-3</v>
      </c>
      <c r="F683" s="55"/>
      <c r="G683" s="55">
        <f>(D683-D707)/D707</f>
        <v>1</v>
      </c>
      <c r="I683" s="21">
        <v>13</v>
      </c>
      <c r="J683" s="56" t="s">
        <v>392</v>
      </c>
      <c r="K683" s="57">
        <v>0.82</v>
      </c>
      <c r="L683" s="65">
        <v>3.2000000000000002E-3</v>
      </c>
      <c r="M683" s="16">
        <f>(K683-K938)/K938</f>
        <v>-0.54696132596685088</v>
      </c>
      <c r="N683" s="16"/>
      <c r="O683" s="21">
        <v>13</v>
      </c>
      <c r="P683" s="57" t="s">
        <v>485</v>
      </c>
      <c r="Q683" s="59">
        <v>0.21</v>
      </c>
      <c r="R683" s="53">
        <v>1.1999999999999999E-3</v>
      </c>
      <c r="T683" s="21">
        <v>13</v>
      </c>
      <c r="U683" s="56" t="s">
        <v>399</v>
      </c>
      <c r="V683" s="49">
        <v>0.11</v>
      </c>
      <c r="W683" s="54">
        <v>1.4E-3</v>
      </c>
      <c r="AA683" s="21"/>
      <c r="AB683" s="21"/>
      <c r="AC683" s="21"/>
      <c r="AD683" s="21"/>
      <c r="AE683" s="53"/>
      <c r="AF683" s="53"/>
      <c r="AG683" s="53"/>
      <c r="AH683" s="15"/>
    </row>
    <row r="684" spans="2:38" ht="14" customHeight="1" x14ac:dyDescent="0.25">
      <c r="B684" s="21">
        <v>14</v>
      </c>
      <c r="C684" s="21" t="s">
        <v>58</v>
      </c>
      <c r="D684" s="50">
        <v>0.04</v>
      </c>
      <c r="E684" s="16">
        <v>1E-3</v>
      </c>
      <c r="F684" s="55"/>
      <c r="G684" s="55"/>
      <c r="I684" s="21">
        <v>14</v>
      </c>
      <c r="J684" s="21" t="s">
        <v>426</v>
      </c>
      <c r="K684" s="57">
        <v>0.27</v>
      </c>
      <c r="L684" s="65">
        <v>1.1000000000000001E-3</v>
      </c>
      <c r="M684" s="16">
        <f>(K684-K940)/K940</f>
        <v>-0.72164948453608246</v>
      </c>
      <c r="N684" s="16"/>
      <c r="O684" s="21">
        <v>14</v>
      </c>
      <c r="P684" s="57" t="s">
        <v>426</v>
      </c>
      <c r="Q684" s="59">
        <v>0.16</v>
      </c>
      <c r="R684" s="53">
        <v>8.9999999999999998E-4</v>
      </c>
      <c r="T684" s="21">
        <v>14</v>
      </c>
      <c r="U684" s="56" t="s">
        <v>504</v>
      </c>
      <c r="V684" s="49">
        <v>0.1</v>
      </c>
      <c r="W684" s="54">
        <v>1.4E-3</v>
      </c>
      <c r="AA684" s="21"/>
      <c r="AB684" s="21"/>
      <c r="AC684" s="21"/>
      <c r="AD684" s="21"/>
      <c r="AE684" s="53"/>
      <c r="AF684" s="53"/>
      <c r="AG684" s="53"/>
      <c r="AH684" s="15"/>
    </row>
    <row r="685" spans="2:38" ht="14" customHeight="1" x14ac:dyDescent="0.25">
      <c r="B685" s="21">
        <v>15</v>
      </c>
      <c r="C685" s="21" t="s">
        <v>509</v>
      </c>
      <c r="D685" s="50">
        <v>0.03</v>
      </c>
      <c r="E685" s="16">
        <v>7.1000000000000004E-3</v>
      </c>
      <c r="F685" s="55">
        <f>(D685-D938)/D938</f>
        <v>-0.90322580645161299</v>
      </c>
      <c r="G685" s="55"/>
      <c r="I685" s="21">
        <v>15</v>
      </c>
      <c r="J685" s="21" t="s">
        <v>58</v>
      </c>
      <c r="K685" s="57">
        <v>0.23</v>
      </c>
      <c r="L685" s="65">
        <v>8.9999999999999998E-4</v>
      </c>
      <c r="M685" s="16"/>
      <c r="N685" s="16"/>
      <c r="O685" s="21">
        <v>15</v>
      </c>
      <c r="P685" s="57" t="s">
        <v>471</v>
      </c>
      <c r="Q685" s="59">
        <v>0.09</v>
      </c>
      <c r="R685" s="53">
        <v>5.0000000000000001E-4</v>
      </c>
      <c r="T685" s="21">
        <v>15</v>
      </c>
      <c r="U685" s="56" t="s">
        <v>329</v>
      </c>
      <c r="V685" s="21">
        <v>7.0000000000000007E-2</v>
      </c>
      <c r="W685" s="54">
        <v>1E-3</v>
      </c>
      <c r="AA685" s="21"/>
      <c r="AB685" s="21"/>
      <c r="AC685" s="21"/>
      <c r="AD685" s="21"/>
      <c r="AE685" s="53"/>
      <c r="AF685" s="53"/>
      <c r="AG685" s="53"/>
      <c r="AH685" s="15"/>
    </row>
    <row r="686" spans="2:38" ht="14" customHeight="1" x14ac:dyDescent="0.25">
      <c r="B686" s="21"/>
      <c r="C686" s="21" t="s">
        <v>77</v>
      </c>
      <c r="D686" s="50">
        <f>D687-SUM(D671:D685)</f>
        <v>0.13999999999999346</v>
      </c>
      <c r="E686" s="16">
        <v>1.8E-3</v>
      </c>
      <c r="F686" s="52"/>
      <c r="G686" s="55">
        <f>(D686-D708)/D708</f>
        <v>0.16666666666656799</v>
      </c>
      <c r="I686" s="21"/>
      <c r="J686" s="21" t="s">
        <v>77</v>
      </c>
      <c r="K686" s="50">
        <f>K687-SUM(K671:K685)</f>
        <v>1.5999999999999659</v>
      </c>
      <c r="L686" s="65">
        <f>L687-SUM(L671:L685)</f>
        <v>6.0999999999998833E-3</v>
      </c>
      <c r="M686" s="16"/>
      <c r="N686" s="16"/>
      <c r="P686" s="21" t="s">
        <v>77</v>
      </c>
      <c r="Q686" s="50">
        <f>Q687-SUM(Q671:Q685)</f>
        <v>-23.950000000000017</v>
      </c>
      <c r="R686" s="65">
        <f>R687-SUM(R671:R685)</f>
        <v>1.7000000000003679E-3</v>
      </c>
      <c r="T686" s="56"/>
      <c r="U686" s="21" t="s">
        <v>77</v>
      </c>
      <c r="V686" s="50">
        <f>V687-SUM(V671:V685)</f>
        <v>0.28999999999997783</v>
      </c>
      <c r="W686" s="65">
        <f>W687-SUM(W671:W685)</f>
        <v>3.8999999999999035E-3</v>
      </c>
    </row>
    <row r="687" spans="2:38" ht="14" customHeight="1" x14ac:dyDescent="0.25">
      <c r="B687" s="21"/>
      <c r="C687" s="21" t="s">
        <v>78</v>
      </c>
      <c r="D687" s="50">
        <v>36.4</v>
      </c>
      <c r="E687" s="16">
        <f>D687/D687</f>
        <v>1</v>
      </c>
      <c r="F687" s="52"/>
      <c r="G687" s="55">
        <f>(D687-D709)/D709</f>
        <v>4.2979942693409746E-2</v>
      </c>
      <c r="I687" s="21"/>
      <c r="J687" s="21" t="s">
        <v>78</v>
      </c>
      <c r="K687" s="57">
        <v>255.7</v>
      </c>
      <c r="L687" s="65">
        <v>1</v>
      </c>
      <c r="M687" s="16"/>
      <c r="N687" s="16"/>
      <c r="P687" s="21" t="s">
        <v>78</v>
      </c>
      <c r="Q687" s="57">
        <v>149.6</v>
      </c>
      <c r="R687" s="65">
        <v>1</v>
      </c>
      <c r="S687" s="228"/>
      <c r="U687" s="21" t="s">
        <v>78</v>
      </c>
      <c r="V687" s="57">
        <v>81.599999999999994</v>
      </c>
      <c r="W687" s="65">
        <v>1</v>
      </c>
      <c r="X687" s="228"/>
    </row>
    <row r="688" spans="2:38" ht="14" customHeight="1" x14ac:dyDescent="0.25">
      <c r="B688" s="21"/>
      <c r="C688" s="21"/>
      <c r="D688" s="9"/>
      <c r="E688" s="21"/>
      <c r="F688" s="21"/>
      <c r="G688" s="21"/>
      <c r="I688" s="21"/>
      <c r="J688" s="21"/>
      <c r="K688" s="9"/>
      <c r="L688" s="21"/>
      <c r="M688" s="21"/>
      <c r="N688" s="21"/>
      <c r="O688" s="21"/>
      <c r="P688" s="21"/>
      <c r="Q688" s="50"/>
      <c r="R688" s="56"/>
      <c r="S688" s="21"/>
      <c r="T688" s="21"/>
      <c r="U688" s="56"/>
      <c r="V688" s="21"/>
      <c r="W688" s="57"/>
      <c r="X688" s="21"/>
      <c r="AA688" s="21"/>
      <c r="AB688" s="21"/>
      <c r="AC688" s="21"/>
      <c r="AD688" s="9"/>
      <c r="AE688" s="21"/>
      <c r="AF688" s="21"/>
      <c r="AG688" s="49"/>
      <c r="AH688" s="15"/>
    </row>
    <row r="689" spans="2:34" ht="14" customHeight="1" x14ac:dyDescent="0.25">
      <c r="B689" s="21"/>
      <c r="C689" s="21"/>
      <c r="D689" s="9"/>
      <c r="E689" s="21"/>
      <c r="F689" s="21"/>
      <c r="G689" s="21"/>
      <c r="I689" s="21"/>
      <c r="J689" s="21"/>
      <c r="K689" s="9"/>
      <c r="L689" s="21"/>
      <c r="M689" s="21"/>
      <c r="N689" s="21"/>
      <c r="O689" s="21"/>
      <c r="P689" s="21"/>
      <c r="Q689" s="50"/>
      <c r="R689" s="56"/>
      <c r="S689" s="21"/>
      <c r="T689" s="21"/>
      <c r="U689" s="56"/>
      <c r="V689" s="21"/>
      <c r="W689" s="57"/>
      <c r="X689" s="21"/>
      <c r="AA689" s="21"/>
      <c r="AB689" s="21"/>
      <c r="AC689" s="21"/>
      <c r="AD689" s="9"/>
      <c r="AE689" s="21"/>
      <c r="AF689" s="21"/>
      <c r="AG689" s="49"/>
      <c r="AH689" s="15"/>
    </row>
    <row r="690" spans="2:34" ht="14" customHeight="1" x14ac:dyDescent="0.25">
      <c r="B690" s="21"/>
      <c r="C690" s="21"/>
      <c r="D690" s="9"/>
      <c r="E690" s="21"/>
      <c r="F690" s="21"/>
      <c r="G690" s="21"/>
      <c r="I690" s="21"/>
      <c r="J690" s="21"/>
      <c r="K690" s="9"/>
      <c r="L690" s="21"/>
      <c r="M690" s="21"/>
      <c r="N690" s="21"/>
      <c r="O690" s="21"/>
      <c r="P690" s="21"/>
      <c r="Q690" s="50"/>
      <c r="R690" s="56"/>
      <c r="S690" s="21"/>
      <c r="T690" s="21"/>
      <c r="U690" s="56"/>
      <c r="V690" s="21"/>
      <c r="W690" s="57"/>
      <c r="X690" s="21"/>
      <c r="AA690" s="21"/>
      <c r="AB690" s="21"/>
      <c r="AC690" s="21"/>
      <c r="AD690" s="9"/>
      <c r="AE690" s="21"/>
      <c r="AF690" s="21"/>
      <c r="AG690" s="49"/>
      <c r="AH690" s="15"/>
    </row>
    <row r="691" spans="2:34" ht="14" customHeight="1" x14ac:dyDescent="0.25">
      <c r="B691" s="15" t="s">
        <v>515</v>
      </c>
      <c r="I691" s="15" t="s">
        <v>516</v>
      </c>
      <c r="O691" s="25" t="s">
        <v>517</v>
      </c>
      <c r="T691" s="25" t="s">
        <v>518</v>
      </c>
      <c r="AA691" s="25"/>
      <c r="AB691" s="25"/>
      <c r="AC691" s="15"/>
      <c r="AD691" s="15"/>
      <c r="AE691" s="15"/>
      <c r="AF691" s="15"/>
      <c r="AH691" s="15"/>
    </row>
    <row r="692" spans="2:34" ht="14" customHeight="1" x14ac:dyDescent="0.25">
      <c r="B692" s="21" t="s">
        <v>334</v>
      </c>
      <c r="C692" s="21" t="s">
        <v>335</v>
      </c>
      <c r="D692" s="9" t="s">
        <v>436</v>
      </c>
      <c r="E692" s="21" t="s">
        <v>337</v>
      </c>
      <c r="F692" s="21" t="s">
        <v>423</v>
      </c>
      <c r="G692" s="21" t="s">
        <v>424</v>
      </c>
      <c r="I692" s="21" t="s">
        <v>334</v>
      </c>
      <c r="J692" s="21" t="s">
        <v>335</v>
      </c>
      <c r="K692" s="9" t="s">
        <v>437</v>
      </c>
      <c r="L692" s="21" t="s">
        <v>337</v>
      </c>
      <c r="M692" s="21" t="s">
        <v>423</v>
      </c>
      <c r="N692" s="21"/>
      <c r="O692" s="21" t="s">
        <v>334</v>
      </c>
      <c r="P692" s="21" t="s">
        <v>335</v>
      </c>
      <c r="Q692" s="50" t="s">
        <v>438</v>
      </c>
      <c r="R692" s="56" t="s">
        <v>384</v>
      </c>
      <c r="S692" s="21"/>
      <c r="T692" s="21" t="s">
        <v>334</v>
      </c>
      <c r="U692" s="56" t="s">
        <v>381</v>
      </c>
      <c r="V692" s="21" t="s">
        <v>438</v>
      </c>
      <c r="W692" s="57" t="s">
        <v>337</v>
      </c>
      <c r="X692" s="21"/>
      <c r="AA692" s="21"/>
      <c r="AB692" s="21"/>
      <c r="AC692" s="21"/>
      <c r="AD692" s="9"/>
      <c r="AE692" s="21"/>
      <c r="AF692" s="21"/>
      <c r="AG692" s="49"/>
      <c r="AH692" s="15"/>
    </row>
    <row r="693" spans="2:34" ht="14" customHeight="1" x14ac:dyDescent="0.25">
      <c r="B693" s="21">
        <v>1</v>
      </c>
      <c r="C693" s="21" t="s">
        <v>68</v>
      </c>
      <c r="D693" s="50">
        <v>15.45</v>
      </c>
      <c r="E693" s="16">
        <v>0.44290000000000002</v>
      </c>
      <c r="F693" s="55">
        <f>(D693-D948)/D948</f>
        <v>0.1893764434180138</v>
      </c>
      <c r="G693" s="55">
        <f>(D693-D715)/D715</f>
        <v>0.14699331848552327</v>
      </c>
      <c r="I693" s="21">
        <v>1</v>
      </c>
      <c r="J693" s="21" t="s">
        <v>68</v>
      </c>
      <c r="K693" s="57">
        <v>94.45</v>
      </c>
      <c r="L693" s="56">
        <v>0.43309999999999998</v>
      </c>
      <c r="M693" s="16">
        <f t="shared" ref="M693:M706" si="47">(K693-K948)/K948</f>
        <v>0.22821846553966185</v>
      </c>
      <c r="N693" s="16"/>
      <c r="O693" s="21">
        <v>1</v>
      </c>
      <c r="P693" s="57" t="s">
        <v>69</v>
      </c>
      <c r="Q693" s="59">
        <v>64.16</v>
      </c>
      <c r="R693" s="53">
        <v>0.42870000000000003</v>
      </c>
      <c r="T693" s="21">
        <v>1</v>
      </c>
      <c r="U693" s="56" t="s">
        <v>98</v>
      </c>
      <c r="V693" s="21">
        <v>43.19</v>
      </c>
      <c r="W693" s="54">
        <v>0.62270000000000003</v>
      </c>
      <c r="AA693" s="21"/>
      <c r="AB693" s="21"/>
      <c r="AC693" s="21"/>
      <c r="AD693" s="21"/>
      <c r="AE693" s="53"/>
      <c r="AF693" s="53"/>
      <c r="AG693" s="49"/>
      <c r="AH693" s="15"/>
    </row>
    <row r="694" spans="2:34" ht="14" customHeight="1" x14ac:dyDescent="0.25">
      <c r="B694" s="21">
        <v>2</v>
      </c>
      <c r="C694" s="21" t="s">
        <v>69</v>
      </c>
      <c r="D694" s="50">
        <v>9.41</v>
      </c>
      <c r="E694" s="16">
        <v>0.2697</v>
      </c>
      <c r="F694" s="55">
        <f t="shared" ref="F694:F705" si="48">(D694-D949)/D949</f>
        <v>0.54769736842105265</v>
      </c>
      <c r="G694" s="55">
        <f t="shared" ref="G694:G709" si="49">(D694-D716)/D716</f>
        <v>6.4171122994652937E-3</v>
      </c>
      <c r="I694" s="21">
        <v>2</v>
      </c>
      <c r="J694" s="21" t="s">
        <v>69</v>
      </c>
      <c r="K694" s="57">
        <v>64.17</v>
      </c>
      <c r="L694" s="56">
        <v>0.29270000000000002</v>
      </c>
      <c r="M694" s="16">
        <f t="shared" si="47"/>
        <v>0.78448275862068961</v>
      </c>
      <c r="N694" s="16"/>
      <c r="O694" s="21">
        <v>2</v>
      </c>
      <c r="P694" s="57" t="s">
        <v>68</v>
      </c>
      <c r="Q694" s="59">
        <v>51.76</v>
      </c>
      <c r="R694" s="53">
        <v>0.34589999999999999</v>
      </c>
      <c r="T694" s="21">
        <v>2</v>
      </c>
      <c r="U694" s="56" t="s">
        <v>100</v>
      </c>
      <c r="V694" s="21">
        <v>9.64</v>
      </c>
      <c r="W694" s="54">
        <v>0.13900000000000001</v>
      </c>
      <c r="AA694" s="21"/>
      <c r="AB694" s="21"/>
      <c r="AC694" s="21"/>
      <c r="AD694" s="21"/>
      <c r="AE694" s="53"/>
      <c r="AF694" s="53"/>
      <c r="AG694" s="53"/>
      <c r="AH694" s="15"/>
    </row>
    <row r="695" spans="2:34" ht="14" customHeight="1" x14ac:dyDescent="0.25">
      <c r="B695" s="21">
        <v>3</v>
      </c>
      <c r="C695" s="21" t="s">
        <v>71</v>
      </c>
      <c r="D695" s="50">
        <v>3.38</v>
      </c>
      <c r="E695" s="16">
        <v>9.69E-2</v>
      </c>
      <c r="F695" s="55">
        <f t="shared" si="48"/>
        <v>1.1666666666666665</v>
      </c>
      <c r="G695" s="55">
        <f t="shared" si="49"/>
        <v>5.6249999999999911E-2</v>
      </c>
      <c r="I695" s="21">
        <v>3</v>
      </c>
      <c r="J695" s="21" t="s">
        <v>71</v>
      </c>
      <c r="K695" s="57">
        <v>19.14</v>
      </c>
      <c r="L695" s="56">
        <v>8.7300000000000003E-2</v>
      </c>
      <c r="M695" s="16">
        <f t="shared" si="47"/>
        <v>0.68189806678383125</v>
      </c>
      <c r="N695" s="16"/>
      <c r="O695" s="21">
        <v>3</v>
      </c>
      <c r="P695" s="57" t="s">
        <v>71</v>
      </c>
      <c r="Q695" s="58">
        <v>9.5</v>
      </c>
      <c r="R695" s="53">
        <v>6.3500000000000001E-2</v>
      </c>
      <c r="T695" s="21">
        <v>3</v>
      </c>
      <c r="U695" s="21" t="s">
        <v>127</v>
      </c>
      <c r="V695" s="21">
        <v>3.98</v>
      </c>
      <c r="W695" s="54">
        <v>5.7299999999999997E-2</v>
      </c>
      <c r="AA695" s="21"/>
      <c r="AB695" s="21"/>
      <c r="AC695" s="21"/>
      <c r="AD695" s="21"/>
      <c r="AE695" s="53"/>
      <c r="AF695" s="53"/>
      <c r="AG695" s="53"/>
      <c r="AH695" s="15"/>
    </row>
    <row r="696" spans="2:34" ht="14" customHeight="1" x14ac:dyDescent="0.25">
      <c r="B696" s="21">
        <v>4</v>
      </c>
      <c r="C696" s="21" t="s">
        <v>70</v>
      </c>
      <c r="D696" s="50">
        <v>1.24</v>
      </c>
      <c r="E696" s="16">
        <v>3.5400000000000001E-2</v>
      </c>
      <c r="F696" s="55">
        <f t="shared" si="48"/>
        <v>-6.0606060606060656E-2</v>
      </c>
      <c r="G696" s="55">
        <f t="shared" si="49"/>
        <v>-6.0606060606060656E-2</v>
      </c>
      <c r="I696" s="21">
        <v>4</v>
      </c>
      <c r="J696" s="21" t="s">
        <v>73</v>
      </c>
      <c r="K696" s="57">
        <v>9.15</v>
      </c>
      <c r="L696" s="56">
        <v>4.1700000000000001E-2</v>
      </c>
      <c r="M696" s="16">
        <f t="shared" si="47"/>
        <v>0.14661654135338345</v>
      </c>
      <c r="N696" s="16"/>
      <c r="O696" s="21">
        <v>4</v>
      </c>
      <c r="P696" s="57" t="s">
        <v>70</v>
      </c>
      <c r="Q696" s="59">
        <v>7.89</v>
      </c>
      <c r="R696" s="53">
        <v>5.2699999999999997E-2</v>
      </c>
      <c r="T696" s="21">
        <v>4</v>
      </c>
      <c r="U696" s="56" t="s">
        <v>181</v>
      </c>
      <c r="V696" s="21">
        <v>2.91</v>
      </c>
      <c r="W696" s="54">
        <v>4.19E-2</v>
      </c>
      <c r="AA696" s="21"/>
      <c r="AB696" s="21"/>
      <c r="AC696" s="21"/>
      <c r="AD696" s="21"/>
      <c r="AE696" s="53"/>
      <c r="AF696" s="53"/>
      <c r="AG696" s="53"/>
      <c r="AH696" s="15"/>
    </row>
    <row r="697" spans="2:34" ht="14" customHeight="1" x14ac:dyDescent="0.25">
      <c r="B697" s="21">
        <v>5</v>
      </c>
      <c r="C697" s="21" t="s">
        <v>73</v>
      </c>
      <c r="D697" s="50">
        <v>1.22</v>
      </c>
      <c r="E697" s="16">
        <v>3.5099999999999999E-2</v>
      </c>
      <c r="F697" s="55">
        <f t="shared" si="48"/>
        <v>0.52499999999999991</v>
      </c>
      <c r="G697" s="55">
        <f t="shared" si="49"/>
        <v>-2.4000000000000021E-2</v>
      </c>
      <c r="I697" s="21">
        <v>5</v>
      </c>
      <c r="J697" s="21" t="s">
        <v>70</v>
      </c>
      <c r="K697" s="57">
        <v>8.5399999999999991</v>
      </c>
      <c r="L697" s="56">
        <v>3.9E-2</v>
      </c>
      <c r="M697" s="16">
        <f t="shared" si="47"/>
        <v>1.1138613861386137</v>
      </c>
      <c r="N697" s="16"/>
      <c r="O697" s="21">
        <v>5</v>
      </c>
      <c r="P697" s="57" t="s">
        <v>73</v>
      </c>
      <c r="Q697" s="59">
        <v>7.37</v>
      </c>
      <c r="R697" s="53">
        <v>4.9299999999999997E-2</v>
      </c>
      <c r="T697" s="21">
        <v>5</v>
      </c>
      <c r="U697" s="56" t="s">
        <v>185</v>
      </c>
      <c r="V697" s="21">
        <v>2.83</v>
      </c>
      <c r="W697" s="54">
        <v>4.0899999999999999E-2</v>
      </c>
      <c r="AA697" s="21"/>
      <c r="AB697" s="21"/>
      <c r="AC697" s="21"/>
      <c r="AD697" s="21"/>
      <c r="AE697" s="53"/>
      <c r="AF697" s="53"/>
      <c r="AG697" s="53"/>
      <c r="AH697" s="15"/>
    </row>
    <row r="698" spans="2:34" ht="14" customHeight="1" x14ac:dyDescent="0.25">
      <c r="B698" s="21">
        <v>6</v>
      </c>
      <c r="C698" s="21" t="s">
        <v>74</v>
      </c>
      <c r="D698" s="50">
        <v>0.79</v>
      </c>
      <c r="E698" s="16">
        <v>2.2599999999999999E-2</v>
      </c>
      <c r="F698" s="55">
        <f t="shared" si="48"/>
        <v>0.1449275362318842</v>
      </c>
      <c r="G698" s="55">
        <f t="shared" si="49"/>
        <v>0.33898305084745778</v>
      </c>
      <c r="I698" s="21">
        <v>6</v>
      </c>
      <c r="J698" s="21" t="s">
        <v>129</v>
      </c>
      <c r="K698" s="57">
        <v>4.9400000000000004</v>
      </c>
      <c r="L698" s="56">
        <v>2.2599999999999999E-2</v>
      </c>
      <c r="M698" s="16">
        <f t="shared" si="47"/>
        <v>0.2797927461139898</v>
      </c>
      <c r="N698" s="16"/>
      <c r="O698" s="21">
        <v>6</v>
      </c>
      <c r="P698" s="57" t="s">
        <v>129</v>
      </c>
      <c r="Q698" s="59">
        <v>2.04</v>
      </c>
      <c r="R698" s="53">
        <v>1.3599999999999999E-2</v>
      </c>
      <c r="T698" s="21">
        <v>6</v>
      </c>
      <c r="U698" s="56" t="s">
        <v>104</v>
      </c>
      <c r="V698" s="21">
        <v>1.88</v>
      </c>
      <c r="W698" s="54">
        <v>2.7199999999999998E-2</v>
      </c>
      <c r="AA698" s="21"/>
      <c r="AB698" s="21"/>
      <c r="AC698" s="21"/>
      <c r="AD698" s="21"/>
      <c r="AE698" s="53"/>
      <c r="AF698" s="53"/>
      <c r="AG698" s="53"/>
      <c r="AH698" s="15"/>
    </row>
    <row r="699" spans="2:34" ht="14" customHeight="1" x14ac:dyDescent="0.25">
      <c r="B699" s="21">
        <v>7</v>
      </c>
      <c r="C699" s="21" t="s">
        <v>323</v>
      </c>
      <c r="D699" s="50">
        <v>0.73</v>
      </c>
      <c r="E699" s="16">
        <v>2.0899999999999998E-2</v>
      </c>
      <c r="F699" s="55">
        <f t="shared" si="48"/>
        <v>0.10606060606060598</v>
      </c>
      <c r="G699" s="55">
        <f t="shared" si="49"/>
        <v>0.28070175438596501</v>
      </c>
      <c r="I699" s="21">
        <v>7</v>
      </c>
      <c r="J699" s="21" t="s">
        <v>127</v>
      </c>
      <c r="K699" s="57">
        <v>3.98</v>
      </c>
      <c r="L699" s="56">
        <v>1.8100000000000002E-2</v>
      </c>
      <c r="M699" s="16">
        <f t="shared" si="47"/>
        <v>8.1521739130434728E-2</v>
      </c>
      <c r="N699" s="16"/>
      <c r="O699" s="21">
        <v>7</v>
      </c>
      <c r="P699" s="57" t="s">
        <v>323</v>
      </c>
      <c r="Q699" s="59">
        <v>1.92</v>
      </c>
      <c r="R699" s="53">
        <v>1.2800000000000001E-2</v>
      </c>
      <c r="T699" s="21">
        <v>7</v>
      </c>
      <c r="U699" s="56" t="s">
        <v>103</v>
      </c>
      <c r="V699" s="21">
        <v>1.78</v>
      </c>
      <c r="W699" s="54">
        <v>2.5600000000000001E-2</v>
      </c>
      <c r="AA699" s="21"/>
      <c r="AB699" s="21"/>
      <c r="AC699" s="21"/>
      <c r="AD699" s="21"/>
      <c r="AE699" s="53"/>
      <c r="AF699" s="53"/>
      <c r="AG699" s="53"/>
      <c r="AH699" s="15"/>
    </row>
    <row r="700" spans="2:34" ht="14" customHeight="1" x14ac:dyDescent="0.25">
      <c r="B700" s="21">
        <v>8</v>
      </c>
      <c r="C700" s="15" t="s">
        <v>172</v>
      </c>
      <c r="D700" s="50">
        <v>0.65</v>
      </c>
      <c r="E700" s="16">
        <v>1.8499999999999999E-2</v>
      </c>
      <c r="F700" s="55">
        <f t="shared" si="48"/>
        <v>3.1746031746031772E-2</v>
      </c>
      <c r="G700" s="55">
        <f t="shared" si="49"/>
        <v>0.16071428571428564</v>
      </c>
      <c r="I700" s="21">
        <v>8</v>
      </c>
      <c r="J700" s="21" t="s">
        <v>74</v>
      </c>
      <c r="K700" s="57">
        <v>3.42</v>
      </c>
      <c r="L700" s="56">
        <v>1.5599999999999999E-2</v>
      </c>
      <c r="M700" s="16">
        <f t="shared" si="47"/>
        <v>-4.4692737430167634E-2</v>
      </c>
      <c r="N700" s="16"/>
      <c r="O700" s="21">
        <v>8</v>
      </c>
      <c r="P700" s="57" t="s">
        <v>322</v>
      </c>
      <c r="Q700" s="59">
        <v>1.63</v>
      </c>
      <c r="R700" s="53">
        <v>1.09E-2</v>
      </c>
      <c r="T700" s="21">
        <v>8</v>
      </c>
      <c r="U700" s="56" t="s">
        <v>392</v>
      </c>
      <c r="V700" s="21">
        <v>0.74</v>
      </c>
      <c r="W700" s="54">
        <v>1.0699999999999999E-2</v>
      </c>
      <c r="AA700" s="21"/>
      <c r="AB700" s="21"/>
      <c r="AC700" s="21"/>
      <c r="AD700" s="21"/>
      <c r="AE700" s="53"/>
      <c r="AF700" s="53"/>
      <c r="AG700" s="53"/>
      <c r="AH700" s="15"/>
    </row>
    <row r="701" spans="2:34" ht="14" customHeight="1" x14ac:dyDescent="0.25">
      <c r="B701" s="21">
        <v>9</v>
      </c>
      <c r="C701" s="21" t="s">
        <v>129</v>
      </c>
      <c r="D701" s="50">
        <v>0.64</v>
      </c>
      <c r="E701" s="16">
        <v>1.83E-2</v>
      </c>
      <c r="F701" s="55">
        <f t="shared" si="48"/>
        <v>4.9180327868852507E-2</v>
      </c>
      <c r="G701" s="55">
        <f t="shared" si="49"/>
        <v>0.25490196078431371</v>
      </c>
      <c r="I701" s="21">
        <v>9</v>
      </c>
      <c r="J701" s="15" t="s">
        <v>185</v>
      </c>
      <c r="K701" s="57">
        <v>2.83</v>
      </c>
      <c r="L701" s="56">
        <v>1.29E-2</v>
      </c>
      <c r="M701" s="16">
        <f t="shared" si="47"/>
        <v>-0.10725552050473182</v>
      </c>
      <c r="N701" s="16"/>
      <c r="O701" s="21">
        <v>9</v>
      </c>
      <c r="P701" s="57" t="s">
        <v>74</v>
      </c>
      <c r="Q701" s="59">
        <v>1.53</v>
      </c>
      <c r="R701" s="53">
        <v>1.0200000000000001E-2</v>
      </c>
      <c r="T701" s="21">
        <v>9</v>
      </c>
      <c r="U701" s="56" t="s">
        <v>101</v>
      </c>
      <c r="V701" s="21">
        <v>0.65</v>
      </c>
      <c r="W701" s="54">
        <v>9.4000000000000004E-3</v>
      </c>
      <c r="AA701" s="21"/>
      <c r="AB701" s="21"/>
      <c r="AC701" s="21"/>
      <c r="AD701" s="21"/>
      <c r="AE701" s="53"/>
      <c r="AF701" s="53"/>
      <c r="AG701" s="53"/>
      <c r="AH701" s="15"/>
    </row>
    <row r="702" spans="2:34" ht="14" customHeight="1" x14ac:dyDescent="0.25">
      <c r="B702" s="21">
        <v>10</v>
      </c>
      <c r="C702" s="21" t="s">
        <v>357</v>
      </c>
      <c r="D702" s="50">
        <v>0.53</v>
      </c>
      <c r="E702" s="16">
        <v>1.52E-2</v>
      </c>
      <c r="F702" s="55">
        <f t="shared" si="48"/>
        <v>0.2325581395348838</v>
      </c>
      <c r="G702" s="55">
        <f t="shared" si="49"/>
        <v>6.0000000000000053E-2</v>
      </c>
      <c r="I702" s="21">
        <v>10</v>
      </c>
      <c r="J702" s="21" t="s">
        <v>323</v>
      </c>
      <c r="K702" s="57">
        <v>2.54</v>
      </c>
      <c r="L702" s="56">
        <v>1.1599999999999999E-2</v>
      </c>
      <c r="M702" s="16">
        <f t="shared" si="47"/>
        <v>2.0080321285140489E-2</v>
      </c>
      <c r="N702" s="16"/>
      <c r="O702" s="21">
        <v>10</v>
      </c>
      <c r="P702" s="57" t="s">
        <v>326</v>
      </c>
      <c r="Q702" s="59">
        <v>0.84</v>
      </c>
      <c r="R702" s="53">
        <v>5.5999999999999999E-3</v>
      </c>
      <c r="T702" s="21">
        <v>10</v>
      </c>
      <c r="U702" s="56" t="s">
        <v>370</v>
      </c>
      <c r="V702" s="21">
        <v>0.62</v>
      </c>
      <c r="W702" s="54">
        <v>8.9999999999999993E-3</v>
      </c>
      <c r="AA702" s="21"/>
      <c r="AB702" s="21"/>
      <c r="AC702" s="21"/>
      <c r="AD702" s="21"/>
      <c r="AE702" s="53"/>
      <c r="AF702" s="53"/>
      <c r="AG702" s="53"/>
      <c r="AH702" s="15"/>
    </row>
    <row r="703" spans="2:34" ht="14" customHeight="1" x14ac:dyDescent="0.25">
      <c r="B703" s="21">
        <v>11</v>
      </c>
      <c r="C703" s="21" t="s">
        <v>322</v>
      </c>
      <c r="D703" s="50">
        <v>0.43</v>
      </c>
      <c r="E703" s="16">
        <v>1.2200000000000001E-2</v>
      </c>
      <c r="F703" s="55">
        <f t="shared" si="48"/>
        <v>2.3809523809523832E-2</v>
      </c>
      <c r="G703" s="55">
        <f t="shared" si="49"/>
        <v>0</v>
      </c>
      <c r="I703" s="21">
        <v>11</v>
      </c>
      <c r="J703" s="21" t="s">
        <v>322</v>
      </c>
      <c r="K703" s="57">
        <v>2.04</v>
      </c>
      <c r="L703" s="65">
        <v>9.2999999999999992E-3</v>
      </c>
      <c r="M703" s="16">
        <f t="shared" si="47"/>
        <v>0.36000000000000004</v>
      </c>
      <c r="N703" s="16"/>
      <c r="O703" s="21">
        <v>11</v>
      </c>
      <c r="P703" s="57" t="s">
        <v>408</v>
      </c>
      <c r="Q703" s="59">
        <v>0.19</v>
      </c>
      <c r="R703" s="53">
        <v>1.2999999999999999E-3</v>
      </c>
      <c r="T703" s="21">
        <v>11</v>
      </c>
      <c r="U703" s="56" t="s">
        <v>369</v>
      </c>
      <c r="V703" s="21">
        <v>0.41</v>
      </c>
      <c r="W703" s="54">
        <v>5.8999999999999999E-3</v>
      </c>
      <c r="AA703" s="21"/>
      <c r="AB703" s="21"/>
      <c r="AC703" s="21"/>
      <c r="AD703" s="21"/>
      <c r="AE703" s="53"/>
      <c r="AF703" s="53"/>
      <c r="AG703" s="53"/>
      <c r="AH703" s="15"/>
    </row>
    <row r="704" spans="2:34" ht="14" customHeight="1" x14ac:dyDescent="0.25">
      <c r="B704" s="21">
        <v>12</v>
      </c>
      <c r="C704" s="21" t="s">
        <v>326</v>
      </c>
      <c r="D704" s="50">
        <v>0.22</v>
      </c>
      <c r="E704" s="16">
        <v>6.3E-3</v>
      </c>
      <c r="F704" s="55">
        <f t="shared" si="48"/>
        <v>-0.24137931034482754</v>
      </c>
      <c r="G704" s="55">
        <f t="shared" si="49"/>
        <v>0</v>
      </c>
      <c r="I704" s="21">
        <v>12</v>
      </c>
      <c r="J704" s="21" t="s">
        <v>326</v>
      </c>
      <c r="K704" s="57">
        <v>0.91</v>
      </c>
      <c r="L704" s="65">
        <v>4.1999999999999997E-3</v>
      </c>
      <c r="M704" s="16">
        <f t="shared" si="47"/>
        <v>-0.31060606060606061</v>
      </c>
      <c r="N704" s="16"/>
      <c r="O704" s="21">
        <v>12</v>
      </c>
      <c r="P704" s="57" t="s">
        <v>485</v>
      </c>
      <c r="Q704" s="59">
        <v>0.18</v>
      </c>
      <c r="R704" s="53">
        <v>1.1999999999999999E-3</v>
      </c>
      <c r="T704" s="21">
        <v>12</v>
      </c>
      <c r="U704" s="56" t="s">
        <v>58</v>
      </c>
      <c r="V704" s="21">
        <v>0.19</v>
      </c>
      <c r="W704" s="54">
        <v>2.7000000000000001E-3</v>
      </c>
      <c r="AA704" s="21"/>
      <c r="AB704" s="21"/>
      <c r="AC704" s="21"/>
      <c r="AD704" s="21"/>
      <c r="AE704" s="53"/>
      <c r="AF704" s="53"/>
      <c r="AG704" s="53"/>
      <c r="AH704" s="15"/>
    </row>
    <row r="705" spans="2:34" ht="14" customHeight="1" x14ac:dyDescent="0.25">
      <c r="B705" s="21">
        <v>13</v>
      </c>
      <c r="C705" s="21" t="s">
        <v>342</v>
      </c>
      <c r="D705" s="50">
        <v>0.03</v>
      </c>
      <c r="E705" s="16">
        <v>8.0000000000000004E-4</v>
      </c>
      <c r="F705" s="55">
        <f t="shared" si="48"/>
        <v>-0.86363636363636365</v>
      </c>
      <c r="G705" s="55">
        <f t="shared" si="49"/>
        <v>-0.40000000000000008</v>
      </c>
      <c r="I705" s="21">
        <v>13</v>
      </c>
      <c r="J705" s="56" t="s">
        <v>392</v>
      </c>
      <c r="K705" s="57">
        <v>0.79</v>
      </c>
      <c r="L705" s="65">
        <v>3.5999999999999999E-3</v>
      </c>
      <c r="M705" s="16">
        <f t="shared" si="47"/>
        <v>-0.36799999999999999</v>
      </c>
      <c r="N705" s="16"/>
      <c r="O705" s="21">
        <v>13</v>
      </c>
      <c r="P705" s="57" t="s">
        <v>476</v>
      </c>
      <c r="Q705" s="59">
        <v>0.16</v>
      </c>
      <c r="R705" s="53">
        <v>1E-3</v>
      </c>
      <c r="T705" s="21">
        <v>13</v>
      </c>
      <c r="U705" s="56" t="s">
        <v>399</v>
      </c>
      <c r="V705" s="49">
        <v>0.1</v>
      </c>
      <c r="W705" s="54">
        <v>1.4E-3</v>
      </c>
      <c r="AA705" s="21"/>
      <c r="AB705" s="21"/>
      <c r="AC705" s="21"/>
      <c r="AD705" s="21"/>
      <c r="AE705" s="53"/>
      <c r="AF705" s="53"/>
      <c r="AG705" s="53"/>
      <c r="AH705" s="15"/>
    </row>
    <row r="706" spans="2:34" ht="14" customHeight="1" x14ac:dyDescent="0.25">
      <c r="B706" s="21">
        <v>14</v>
      </c>
      <c r="C706" s="21" t="s">
        <v>426</v>
      </c>
      <c r="D706" s="50">
        <v>0.03</v>
      </c>
      <c r="E706" s="16">
        <v>8.0000000000000004E-4</v>
      </c>
      <c r="F706" s="52"/>
      <c r="G706" s="55">
        <f t="shared" si="49"/>
        <v>-0.25000000000000006</v>
      </c>
      <c r="I706" s="21">
        <v>14</v>
      </c>
      <c r="J706" s="21" t="s">
        <v>426</v>
      </c>
      <c r="K706" s="57">
        <v>0.25</v>
      </c>
      <c r="L706" s="65">
        <v>1.1000000000000001E-3</v>
      </c>
      <c r="M706" s="16">
        <f t="shared" si="47"/>
        <v>-0.70930232558139539</v>
      </c>
      <c r="N706" s="16"/>
      <c r="O706" s="21">
        <v>14</v>
      </c>
      <c r="P706" s="57" t="s">
        <v>426</v>
      </c>
      <c r="Q706" s="59">
        <v>0.15</v>
      </c>
      <c r="R706" s="53">
        <v>1E-3</v>
      </c>
      <c r="T706" s="21">
        <v>14</v>
      </c>
      <c r="U706" s="56" t="s">
        <v>504</v>
      </c>
      <c r="V706" s="49">
        <v>0.1</v>
      </c>
      <c r="W706" s="54">
        <v>1.4E-3</v>
      </c>
      <c r="AA706" s="21"/>
      <c r="AB706" s="21"/>
      <c r="AC706" s="21"/>
      <c r="AD706" s="21"/>
      <c r="AE706" s="53"/>
      <c r="AF706" s="53"/>
      <c r="AG706" s="53"/>
      <c r="AH706" s="15"/>
    </row>
    <row r="707" spans="2:34" ht="14" customHeight="1" x14ac:dyDescent="0.25">
      <c r="B707" s="21">
        <v>15</v>
      </c>
      <c r="C707" s="57" t="s">
        <v>476</v>
      </c>
      <c r="D707" s="50">
        <v>0.03</v>
      </c>
      <c r="E707" s="16">
        <v>6.9999999999999999E-4</v>
      </c>
      <c r="F707" s="52"/>
      <c r="G707" s="55">
        <f t="shared" si="49"/>
        <v>-0.25000000000000006</v>
      </c>
      <c r="I707" s="21">
        <v>15</v>
      </c>
      <c r="J707" s="21" t="s">
        <v>408</v>
      </c>
      <c r="K707" s="57">
        <v>0.19</v>
      </c>
      <c r="L707" s="65">
        <v>8.9999999999999998E-4</v>
      </c>
      <c r="M707" s="16"/>
      <c r="N707" s="16"/>
      <c r="O707" s="21">
        <v>15</v>
      </c>
      <c r="P707" s="57" t="s">
        <v>471</v>
      </c>
      <c r="Q707" s="59">
        <v>0.09</v>
      </c>
      <c r="R707" s="53">
        <v>5.9999999999999995E-4</v>
      </c>
      <c r="T707" s="21">
        <v>15</v>
      </c>
      <c r="U707" s="56" t="s">
        <v>329</v>
      </c>
      <c r="V707" s="21">
        <v>7.0000000000000007E-2</v>
      </c>
      <c r="W707" s="54">
        <v>1E-3</v>
      </c>
      <c r="AA707" s="21"/>
      <c r="AB707" s="21"/>
      <c r="AC707" s="21"/>
      <c r="AD707" s="21"/>
      <c r="AE707" s="53"/>
      <c r="AF707" s="53"/>
      <c r="AG707" s="53"/>
      <c r="AH707" s="15"/>
    </row>
    <row r="708" spans="2:34" ht="14" customHeight="1" x14ac:dyDescent="0.25">
      <c r="B708" s="21"/>
      <c r="C708" s="21" t="s">
        <v>77</v>
      </c>
      <c r="D708" s="50">
        <f>D709-SUM(D693:D707)</f>
        <v>0.12000000000000455</v>
      </c>
      <c r="E708" s="16">
        <f>E709-SUM(E693:E707)</f>
        <v>3.7000000000000366E-3</v>
      </c>
      <c r="F708" s="52"/>
      <c r="G708" s="55">
        <f t="shared" si="49"/>
        <v>-0.14285714285715737</v>
      </c>
      <c r="I708" s="21"/>
      <c r="J708" s="21" t="s">
        <v>77</v>
      </c>
      <c r="K708" s="50">
        <f>K709-SUM(K693:K707)</f>
        <v>1.8600000000000421</v>
      </c>
      <c r="L708" s="65">
        <f>L709-SUM(L693:L707)</f>
        <v>6.3000000000000833E-3</v>
      </c>
      <c r="M708" s="16"/>
      <c r="N708" s="16"/>
      <c r="P708" s="21" t="s">
        <v>77</v>
      </c>
      <c r="Q708" s="50">
        <f>Q709-SUM(Q693:Q707)</f>
        <v>0.19000000000002615</v>
      </c>
      <c r="R708" s="65">
        <f>R709-SUM(R693:R707)</f>
        <v>1.7000000000000348E-3</v>
      </c>
      <c r="T708" s="56"/>
      <c r="U708" s="21" t="s">
        <v>77</v>
      </c>
      <c r="V708" s="50">
        <f>V709-SUM(V693:V707)</f>
        <v>0.3100000000000307</v>
      </c>
      <c r="W708" s="65">
        <f>W709-SUM(W693:W707)</f>
        <v>3.8999999999999035E-3</v>
      </c>
    </row>
    <row r="709" spans="2:34" ht="14" customHeight="1" x14ac:dyDescent="0.25">
      <c r="B709" s="21"/>
      <c r="C709" s="21" t="s">
        <v>78</v>
      </c>
      <c r="D709" s="50">
        <v>34.9</v>
      </c>
      <c r="E709" s="16">
        <f>D709/D709</f>
        <v>1</v>
      </c>
      <c r="F709" s="52"/>
      <c r="G709" s="55">
        <f t="shared" si="49"/>
        <v>8.25062034739453E-2</v>
      </c>
      <c r="I709" s="21"/>
      <c r="J709" s="21" t="s">
        <v>78</v>
      </c>
      <c r="K709" s="57">
        <v>219.2</v>
      </c>
      <c r="L709" s="65">
        <v>1</v>
      </c>
      <c r="M709" s="16"/>
      <c r="N709" s="16"/>
      <c r="P709" s="21" t="s">
        <v>78</v>
      </c>
      <c r="Q709" s="57">
        <v>149.6</v>
      </c>
      <c r="R709" s="65">
        <v>1</v>
      </c>
      <c r="S709" s="228"/>
      <c r="U709" s="21" t="s">
        <v>78</v>
      </c>
      <c r="V709" s="57">
        <v>69.400000000000006</v>
      </c>
      <c r="W709" s="65">
        <v>1</v>
      </c>
      <c r="X709" s="228"/>
    </row>
    <row r="710" spans="2:34" ht="14" customHeight="1" x14ac:dyDescent="0.25">
      <c r="D710" s="43"/>
      <c r="J710" s="43"/>
      <c r="O710" s="227"/>
      <c r="X710" s="227"/>
    </row>
    <row r="711" spans="2:34" ht="14" customHeight="1" x14ac:dyDescent="0.25">
      <c r="D711" s="43"/>
      <c r="J711" s="43"/>
      <c r="O711" s="227"/>
      <c r="X711" s="227"/>
    </row>
    <row r="712" spans="2:34" ht="14" customHeight="1" x14ac:dyDescent="0.25">
      <c r="D712" s="43"/>
      <c r="J712" s="43"/>
      <c r="O712" s="227"/>
      <c r="X712" s="227"/>
    </row>
    <row r="713" spans="2:34" ht="14" customHeight="1" x14ac:dyDescent="0.25">
      <c r="B713" s="15" t="s">
        <v>519</v>
      </c>
      <c r="I713" s="15" t="s">
        <v>520</v>
      </c>
      <c r="O713" s="25" t="s">
        <v>521</v>
      </c>
      <c r="T713" s="25" t="s">
        <v>522</v>
      </c>
      <c r="AA713" s="25"/>
      <c r="AB713" s="25"/>
      <c r="AC713" s="15"/>
      <c r="AD713" s="15"/>
      <c r="AE713" s="15"/>
      <c r="AF713" s="15"/>
      <c r="AH713" s="15"/>
    </row>
    <row r="714" spans="2:34" ht="14" customHeight="1" x14ac:dyDescent="0.25">
      <c r="B714" s="21" t="s">
        <v>334</v>
      </c>
      <c r="C714" s="21" t="s">
        <v>335</v>
      </c>
      <c r="D714" s="9" t="s">
        <v>436</v>
      </c>
      <c r="E714" s="21" t="s">
        <v>337</v>
      </c>
      <c r="F714" s="21" t="s">
        <v>423</v>
      </c>
      <c r="G714" s="21" t="s">
        <v>424</v>
      </c>
      <c r="I714" s="21" t="s">
        <v>334</v>
      </c>
      <c r="J714" s="21" t="s">
        <v>335</v>
      </c>
      <c r="K714" s="9" t="s">
        <v>437</v>
      </c>
      <c r="L714" s="21" t="s">
        <v>337</v>
      </c>
      <c r="M714" s="21" t="s">
        <v>423</v>
      </c>
      <c r="N714" s="21"/>
      <c r="O714" s="21" t="s">
        <v>334</v>
      </c>
      <c r="P714" s="21" t="s">
        <v>335</v>
      </c>
      <c r="Q714" s="50" t="s">
        <v>438</v>
      </c>
      <c r="R714" s="56" t="s">
        <v>384</v>
      </c>
      <c r="S714" s="21"/>
      <c r="T714" s="21" t="s">
        <v>334</v>
      </c>
      <c r="U714" s="56" t="s">
        <v>381</v>
      </c>
      <c r="V714" s="21" t="s">
        <v>438</v>
      </c>
      <c r="W714" s="57" t="s">
        <v>337</v>
      </c>
      <c r="X714" s="21"/>
      <c r="AA714" s="21"/>
      <c r="AB714" s="21"/>
      <c r="AC714" s="21"/>
      <c r="AD714" s="9"/>
      <c r="AE714" s="21"/>
      <c r="AF714" s="21"/>
      <c r="AG714" s="49"/>
      <c r="AH714" s="15"/>
    </row>
    <row r="715" spans="2:34" ht="14" customHeight="1" x14ac:dyDescent="0.25">
      <c r="B715" s="21">
        <v>1</v>
      </c>
      <c r="C715" s="21" t="s">
        <v>68</v>
      </c>
      <c r="D715" s="50">
        <v>13.47</v>
      </c>
      <c r="E715" s="16">
        <v>0.41789999999999999</v>
      </c>
      <c r="F715" s="55">
        <v>5.2238805970148397E-3</v>
      </c>
      <c r="G715" s="55">
        <v>-9.2929292929292903E-2</v>
      </c>
      <c r="I715" s="21">
        <v>1</v>
      </c>
      <c r="J715" s="21" t="s">
        <v>68</v>
      </c>
      <c r="K715" s="57">
        <v>79.5</v>
      </c>
      <c r="L715" s="56">
        <v>0.43120000000000003</v>
      </c>
      <c r="M715" s="16">
        <v>0.51428571428571401</v>
      </c>
      <c r="N715" s="16"/>
      <c r="O715" s="21">
        <v>1</v>
      </c>
      <c r="P715" s="57" t="s">
        <v>69</v>
      </c>
      <c r="Q715" s="59">
        <v>54.75</v>
      </c>
      <c r="R715" s="53">
        <v>0.43590000000000001</v>
      </c>
      <c r="T715" s="21">
        <v>1</v>
      </c>
      <c r="U715" s="56" t="s">
        <v>98</v>
      </c>
      <c r="V715" s="21">
        <v>36.19</v>
      </c>
      <c r="W715" s="54">
        <v>0.61819999999999997</v>
      </c>
      <c r="AA715" s="21"/>
      <c r="AB715" s="21"/>
      <c r="AC715" s="21"/>
      <c r="AD715" s="21"/>
      <c r="AE715" s="53"/>
      <c r="AF715" s="53"/>
      <c r="AG715" s="49"/>
      <c r="AH715" s="15"/>
    </row>
    <row r="716" spans="2:34" ht="14" customHeight="1" x14ac:dyDescent="0.25">
      <c r="B716" s="21">
        <v>2</v>
      </c>
      <c r="C716" s="21" t="s">
        <v>69</v>
      </c>
      <c r="D716" s="50">
        <v>9.35</v>
      </c>
      <c r="E716" s="16">
        <v>0.29010000000000002</v>
      </c>
      <c r="F716" s="55">
        <v>0.86626746506985997</v>
      </c>
      <c r="G716" s="55">
        <v>3.77358490566038E-2</v>
      </c>
      <c r="I716" s="21">
        <v>2</v>
      </c>
      <c r="J716" s="21" t="s">
        <v>69</v>
      </c>
      <c r="K716" s="57">
        <v>54.76</v>
      </c>
      <c r="L716" s="56">
        <v>0.29699999999999999</v>
      </c>
      <c r="M716" s="16">
        <v>1.3027754415475199</v>
      </c>
      <c r="N716" s="16"/>
      <c r="O716" s="21">
        <v>2</v>
      </c>
      <c r="P716" s="57" t="s">
        <v>68</v>
      </c>
      <c r="Q716" s="59">
        <v>43.31</v>
      </c>
      <c r="R716" s="53">
        <v>0.3448</v>
      </c>
      <c r="T716" s="21">
        <v>2</v>
      </c>
      <c r="U716" s="56" t="s">
        <v>100</v>
      </c>
      <c r="V716" s="21">
        <v>8.0399999999999991</v>
      </c>
      <c r="W716" s="54">
        <v>0.13730000000000001</v>
      </c>
      <c r="AA716" s="21"/>
      <c r="AB716" s="21"/>
      <c r="AC716" s="21"/>
      <c r="AD716" s="21"/>
      <c r="AE716" s="53"/>
      <c r="AF716" s="53"/>
      <c r="AG716" s="53"/>
      <c r="AH716" s="15"/>
    </row>
    <row r="717" spans="2:34" ht="14" customHeight="1" x14ac:dyDescent="0.25">
      <c r="B717" s="21">
        <v>3</v>
      </c>
      <c r="C717" s="21" t="s">
        <v>71</v>
      </c>
      <c r="D717" s="50">
        <v>3.2</v>
      </c>
      <c r="E717" s="16">
        <v>9.9299999999999999E-2</v>
      </c>
      <c r="F717" s="55">
        <v>0.97530864197530898</v>
      </c>
      <c r="G717" s="55">
        <v>0.10344827586206901</v>
      </c>
      <c r="I717" s="21">
        <v>3</v>
      </c>
      <c r="J717" s="21" t="s">
        <v>71</v>
      </c>
      <c r="K717" s="57">
        <v>15.77</v>
      </c>
      <c r="L717" s="56">
        <v>8.5500000000000007E-2</v>
      </c>
      <c r="M717" s="16">
        <v>0.88862275449101802</v>
      </c>
      <c r="N717" s="16"/>
      <c r="O717" s="21">
        <v>3</v>
      </c>
      <c r="P717" s="57" t="s">
        <v>71</v>
      </c>
      <c r="Q717" s="59">
        <v>7.73</v>
      </c>
      <c r="R717" s="53">
        <v>6.1499999999999999E-2</v>
      </c>
      <c r="T717" s="21">
        <v>3</v>
      </c>
      <c r="U717" s="21" t="s">
        <v>127</v>
      </c>
      <c r="V717" s="21">
        <v>3.33</v>
      </c>
      <c r="W717" s="54">
        <v>5.6899999999999999E-2</v>
      </c>
      <c r="AA717" s="21"/>
      <c r="AB717" s="21"/>
      <c r="AC717" s="21"/>
      <c r="AD717" s="21"/>
      <c r="AE717" s="53"/>
      <c r="AF717" s="53"/>
      <c r="AG717" s="53"/>
      <c r="AH717" s="15"/>
    </row>
    <row r="718" spans="2:34" ht="14" customHeight="1" x14ac:dyDescent="0.25">
      <c r="B718" s="21">
        <v>4</v>
      </c>
      <c r="C718" s="21" t="s">
        <v>73</v>
      </c>
      <c r="D718" s="50">
        <v>1.32</v>
      </c>
      <c r="E718" s="16">
        <v>4.0800000000000003E-2</v>
      </c>
      <c r="F718" s="55">
        <v>1.31578947368421</v>
      </c>
      <c r="G718" s="55">
        <v>-0.108108108108108</v>
      </c>
      <c r="I718" s="21">
        <v>4</v>
      </c>
      <c r="J718" s="21" t="s">
        <v>73</v>
      </c>
      <c r="K718" s="57">
        <v>7.93</v>
      </c>
      <c r="L718" s="56">
        <v>4.2999999999999997E-2</v>
      </c>
      <c r="M718" s="16">
        <v>2.2367346938775499</v>
      </c>
      <c r="N718" s="16"/>
      <c r="O718" s="21">
        <v>4</v>
      </c>
      <c r="P718" s="57" t="s">
        <v>70</v>
      </c>
      <c r="Q718" s="59">
        <v>6.74</v>
      </c>
      <c r="R718" s="53">
        <v>5.3699999999999998E-2</v>
      </c>
      <c r="T718" s="21">
        <v>4</v>
      </c>
      <c r="U718" s="56" t="s">
        <v>181</v>
      </c>
      <c r="V718" s="21">
        <v>2.64</v>
      </c>
      <c r="W718" s="54">
        <v>4.5100000000000001E-2</v>
      </c>
      <c r="AA718" s="21"/>
      <c r="AB718" s="21"/>
      <c r="AC718" s="21"/>
      <c r="AD718" s="21"/>
      <c r="AE718" s="53"/>
      <c r="AF718" s="53"/>
      <c r="AG718" s="53"/>
      <c r="AH718" s="15"/>
    </row>
    <row r="719" spans="2:34" ht="14" customHeight="1" x14ac:dyDescent="0.25">
      <c r="B719" s="21">
        <v>5</v>
      </c>
      <c r="C719" s="21" t="s">
        <v>70</v>
      </c>
      <c r="D719" s="50">
        <v>1.25</v>
      </c>
      <c r="E719" s="16">
        <v>3.8899999999999997E-2</v>
      </c>
      <c r="F719" s="55">
        <v>-6.7164179104477695E-2</v>
      </c>
      <c r="G719" s="55">
        <v>2.4590163934426101E-2</v>
      </c>
      <c r="I719" s="21">
        <v>5</v>
      </c>
      <c r="J719" s="21" t="s">
        <v>70</v>
      </c>
      <c r="K719" s="57">
        <v>7.31</v>
      </c>
      <c r="L719" s="56">
        <v>3.9600000000000003E-2</v>
      </c>
      <c r="M719" s="16">
        <v>0.32427536231884102</v>
      </c>
      <c r="N719" s="16"/>
      <c r="O719" s="21">
        <v>5</v>
      </c>
      <c r="P719" s="57" t="s">
        <v>73</v>
      </c>
      <c r="Q719" s="59">
        <v>6.29</v>
      </c>
      <c r="R719" s="53">
        <v>0.05</v>
      </c>
      <c r="T719" s="21">
        <v>5</v>
      </c>
      <c r="U719" s="56" t="s">
        <v>185</v>
      </c>
      <c r="V719" s="21">
        <v>2.31</v>
      </c>
      <c r="W719" s="54">
        <v>3.9399999999999998E-2</v>
      </c>
      <c r="AA719" s="21"/>
      <c r="AB719" s="21"/>
      <c r="AC719" s="21"/>
      <c r="AD719" s="21"/>
      <c r="AE719" s="53"/>
      <c r="AF719" s="53"/>
      <c r="AG719" s="53"/>
      <c r="AH719" s="15"/>
    </row>
    <row r="720" spans="2:34" ht="14" customHeight="1" x14ac:dyDescent="0.25">
      <c r="B720" s="21">
        <v>6</v>
      </c>
      <c r="C720" s="21" t="s">
        <v>129</v>
      </c>
      <c r="D720" s="50">
        <v>0.59</v>
      </c>
      <c r="E720" s="16">
        <v>1.83E-2</v>
      </c>
      <c r="F720" s="55">
        <v>-7.8125000000000097E-2</v>
      </c>
      <c r="G720" s="55">
        <v>-0.19178082191780799</v>
      </c>
      <c r="I720" s="21">
        <v>6</v>
      </c>
      <c r="J720" s="21" t="s">
        <v>129</v>
      </c>
      <c r="K720" s="57">
        <v>4.3099999999999996</v>
      </c>
      <c r="L720" s="56">
        <v>2.3400000000000001E-2</v>
      </c>
      <c r="M720" s="16">
        <v>0.73092369477911601</v>
      </c>
      <c r="N720" s="16"/>
      <c r="O720" s="21">
        <v>6</v>
      </c>
      <c r="P720" s="57" t="s">
        <v>129</v>
      </c>
      <c r="Q720" s="59">
        <v>1.67</v>
      </c>
      <c r="R720" s="53">
        <v>1.3299999999999999E-2</v>
      </c>
      <c r="T720" s="21">
        <v>6</v>
      </c>
      <c r="U720" s="56" t="s">
        <v>103</v>
      </c>
      <c r="V720" s="21">
        <v>1.64</v>
      </c>
      <c r="W720" s="54">
        <v>2.81E-2</v>
      </c>
      <c r="AA720" s="21"/>
      <c r="AB720" s="21"/>
      <c r="AC720" s="21"/>
      <c r="AD720" s="21"/>
      <c r="AE720" s="53"/>
      <c r="AF720" s="53"/>
      <c r="AG720" s="53"/>
      <c r="AH720" s="15"/>
    </row>
    <row r="721" spans="2:34" ht="14" customHeight="1" x14ac:dyDescent="0.25">
      <c r="B721" s="21">
        <v>7</v>
      </c>
      <c r="C721" s="21" t="s">
        <v>323</v>
      </c>
      <c r="D721" s="50">
        <v>0.56999999999999995</v>
      </c>
      <c r="E721" s="16">
        <v>1.7600000000000001E-2</v>
      </c>
      <c r="F721" s="55">
        <v>1.1111111111111101</v>
      </c>
      <c r="G721" s="55">
        <v>0.11764705882352899</v>
      </c>
      <c r="I721" s="21">
        <v>7</v>
      </c>
      <c r="J721" s="21" t="s">
        <v>127</v>
      </c>
      <c r="K721" s="57">
        <v>3.33</v>
      </c>
      <c r="L721" s="56">
        <v>1.8100000000000002E-2</v>
      </c>
      <c r="M721" s="16">
        <v>6.0509554140127299E-2</v>
      </c>
      <c r="N721" s="16"/>
      <c r="O721" s="21">
        <v>7</v>
      </c>
      <c r="P721" s="57" t="s">
        <v>323</v>
      </c>
      <c r="Q721" s="59">
        <v>1.27</v>
      </c>
      <c r="R721" s="53">
        <v>1.01E-2</v>
      </c>
      <c r="T721" s="21">
        <v>7</v>
      </c>
      <c r="U721" s="56" t="s">
        <v>104</v>
      </c>
      <c r="V721" s="21">
        <v>1.49</v>
      </c>
      <c r="W721" s="54">
        <v>2.5399999999999999E-2</v>
      </c>
      <c r="AA721" s="21"/>
      <c r="AB721" s="21"/>
      <c r="AC721" s="21"/>
      <c r="AD721" s="21"/>
      <c r="AE721" s="53"/>
      <c r="AF721" s="53"/>
      <c r="AG721" s="53"/>
      <c r="AH721" s="15"/>
    </row>
    <row r="722" spans="2:34" ht="14" customHeight="1" x14ac:dyDescent="0.25">
      <c r="B722" s="21">
        <v>8</v>
      </c>
      <c r="C722" s="21" t="s">
        <v>74</v>
      </c>
      <c r="D722" s="50">
        <v>0.56000000000000005</v>
      </c>
      <c r="E722" s="16">
        <v>1.7399999999999999E-2</v>
      </c>
      <c r="F722" s="55">
        <v>-1.7543859649122601E-2</v>
      </c>
      <c r="G722" s="55">
        <v>0.14285714285714299</v>
      </c>
      <c r="I722" s="21">
        <v>8</v>
      </c>
      <c r="J722" s="21" t="s">
        <v>74</v>
      </c>
      <c r="K722" s="57">
        <v>2.63</v>
      </c>
      <c r="L722" s="56">
        <v>1.43E-2</v>
      </c>
      <c r="M722" s="16">
        <v>1.9379844961240299E-2</v>
      </c>
      <c r="N722" s="16"/>
      <c r="O722" s="21">
        <v>8</v>
      </c>
      <c r="P722" s="57" t="s">
        <v>322</v>
      </c>
      <c r="Q722" s="59">
        <v>1.23</v>
      </c>
      <c r="R722" s="53">
        <v>9.7999999999999997E-3</v>
      </c>
      <c r="T722" s="21">
        <v>8</v>
      </c>
      <c r="U722" s="56" t="s">
        <v>392</v>
      </c>
      <c r="V722" s="21">
        <v>0.73</v>
      </c>
      <c r="W722" s="54">
        <v>1.2500000000000001E-2</v>
      </c>
      <c r="AA722" s="21"/>
      <c r="AB722" s="21"/>
      <c r="AC722" s="21"/>
      <c r="AD722" s="21"/>
      <c r="AE722" s="53"/>
      <c r="AF722" s="53"/>
      <c r="AG722" s="53"/>
      <c r="AH722" s="15"/>
    </row>
    <row r="723" spans="2:34" ht="14" customHeight="1" x14ac:dyDescent="0.25">
      <c r="B723" s="21">
        <v>9</v>
      </c>
      <c r="C723" s="15" t="s">
        <v>172</v>
      </c>
      <c r="D723" s="50">
        <v>0.51</v>
      </c>
      <c r="E723" s="16">
        <v>1.5699999999999999E-2</v>
      </c>
      <c r="F723" s="55">
        <v>-0.69461077844311403</v>
      </c>
      <c r="G723" s="55">
        <v>0.214285714285714</v>
      </c>
      <c r="I723" s="21">
        <v>9</v>
      </c>
      <c r="J723" s="15" t="s">
        <v>185</v>
      </c>
      <c r="K723" s="57">
        <v>2.31</v>
      </c>
      <c r="L723" s="56">
        <v>1.2500000000000001E-2</v>
      </c>
      <c r="M723" s="16">
        <v>9.4786729857819996E-2</v>
      </c>
      <c r="N723" s="16"/>
      <c r="O723" s="21">
        <v>9</v>
      </c>
      <c r="P723" s="57" t="s">
        <v>74</v>
      </c>
      <c r="Q723" s="59">
        <v>1.1299999999999999</v>
      </c>
      <c r="R723" s="53">
        <v>8.9999999999999993E-3</v>
      </c>
      <c r="T723" s="21">
        <v>9</v>
      </c>
      <c r="U723" s="56" t="s">
        <v>101</v>
      </c>
      <c r="V723" s="21">
        <v>0.56000000000000005</v>
      </c>
      <c r="W723" s="54">
        <v>9.5999999999999992E-3</v>
      </c>
      <c r="AA723" s="21"/>
      <c r="AB723" s="21"/>
      <c r="AC723" s="21"/>
      <c r="AD723" s="21"/>
      <c r="AE723" s="53"/>
      <c r="AF723" s="53"/>
      <c r="AG723" s="53"/>
      <c r="AH723" s="15"/>
    </row>
    <row r="724" spans="2:34" ht="14" customHeight="1" x14ac:dyDescent="0.25">
      <c r="B724" s="21">
        <v>10</v>
      </c>
      <c r="C724" s="21" t="s">
        <v>357</v>
      </c>
      <c r="D724" s="50">
        <v>0.5</v>
      </c>
      <c r="E724" s="16">
        <v>1.55E-2</v>
      </c>
      <c r="F724" s="55">
        <v>4.1666666666666699E-2</v>
      </c>
      <c r="G724" s="55">
        <v>0.35135135135135098</v>
      </c>
      <c r="I724" s="21">
        <v>10</v>
      </c>
      <c r="J724" s="21" t="s">
        <v>323</v>
      </c>
      <c r="K724" s="57">
        <v>1.81</v>
      </c>
      <c r="L724" s="56">
        <v>9.7999999999999997E-3</v>
      </c>
      <c r="M724" s="16">
        <v>1.41333333333333</v>
      </c>
      <c r="N724" s="16"/>
      <c r="O724" s="21">
        <v>10</v>
      </c>
      <c r="P724" s="57" t="s">
        <v>326</v>
      </c>
      <c r="Q724" s="59">
        <v>0.63</v>
      </c>
      <c r="R724" s="53">
        <v>5.0000000000000001E-3</v>
      </c>
      <c r="T724" s="21">
        <v>10</v>
      </c>
      <c r="U724" s="56" t="s">
        <v>370</v>
      </c>
      <c r="V724" s="21">
        <v>0.55000000000000004</v>
      </c>
      <c r="W724" s="54">
        <v>9.2999999999999992E-3</v>
      </c>
      <c r="AA724" s="21"/>
      <c r="AB724" s="21"/>
      <c r="AC724" s="21"/>
      <c r="AD724" s="21"/>
      <c r="AE724" s="53"/>
      <c r="AF724" s="53"/>
      <c r="AG724" s="53"/>
      <c r="AH724" s="15"/>
    </row>
    <row r="725" spans="2:34" ht="14" customHeight="1" x14ac:dyDescent="0.25">
      <c r="B725" s="21">
        <v>11</v>
      </c>
      <c r="C725" s="21" t="s">
        <v>322</v>
      </c>
      <c r="D725" s="50">
        <v>0.43</v>
      </c>
      <c r="E725" s="16">
        <v>1.34E-2</v>
      </c>
      <c r="F725" s="52">
        <v>-0.104166666666667</v>
      </c>
      <c r="G725" s="52">
        <v>0.53571428571428603</v>
      </c>
      <c r="I725" s="21">
        <v>11</v>
      </c>
      <c r="J725" s="21" t="s">
        <v>322</v>
      </c>
      <c r="K725" s="57">
        <v>1.61</v>
      </c>
      <c r="L725" s="65">
        <v>8.6999999999999994E-3</v>
      </c>
      <c r="M725" s="16">
        <v>0.201492537313433</v>
      </c>
      <c r="N725" s="16"/>
      <c r="O725" s="21">
        <v>11</v>
      </c>
      <c r="P725" s="57" t="s">
        <v>408</v>
      </c>
      <c r="Q725" s="59">
        <v>0.18</v>
      </c>
      <c r="R725" s="53">
        <v>1.4E-3</v>
      </c>
      <c r="T725" s="21">
        <v>11</v>
      </c>
      <c r="U725" s="56" t="s">
        <v>369</v>
      </c>
      <c r="V725" s="21">
        <v>0.38</v>
      </c>
      <c r="W725" s="54">
        <v>6.4999999999999997E-3</v>
      </c>
      <c r="AA725" s="21"/>
      <c r="AB725" s="21"/>
      <c r="AC725" s="21"/>
      <c r="AD725" s="21"/>
      <c r="AE725" s="53"/>
      <c r="AF725" s="53"/>
      <c r="AG725" s="53"/>
      <c r="AH725" s="15"/>
    </row>
    <row r="726" spans="2:34" ht="14" customHeight="1" x14ac:dyDescent="0.25">
      <c r="B726" s="21">
        <v>12</v>
      </c>
      <c r="C726" s="21" t="s">
        <v>509</v>
      </c>
      <c r="D726" s="50">
        <v>0.22</v>
      </c>
      <c r="E726" s="16">
        <v>6.7000000000000002E-3</v>
      </c>
      <c r="F726" s="52">
        <v>1.2</v>
      </c>
      <c r="G726" s="52">
        <v>0.157894736842105</v>
      </c>
      <c r="I726" s="21">
        <v>12</v>
      </c>
      <c r="J726" s="21" t="s">
        <v>509</v>
      </c>
      <c r="K726" s="57">
        <v>0.77</v>
      </c>
      <c r="L726" s="65">
        <v>4.1999999999999997E-3</v>
      </c>
      <c r="M726" s="16">
        <v>-0.14444444444444399</v>
      </c>
      <c r="N726" s="16"/>
      <c r="O726" s="21">
        <v>12</v>
      </c>
      <c r="P726" s="57" t="s">
        <v>485</v>
      </c>
      <c r="Q726" s="59">
        <v>0.16</v>
      </c>
      <c r="R726" s="53">
        <v>1.2999999999999999E-3</v>
      </c>
      <c r="T726" s="21">
        <v>12</v>
      </c>
      <c r="U726" s="56" t="s">
        <v>58</v>
      </c>
      <c r="V726" s="21">
        <v>0.18</v>
      </c>
      <c r="W726" s="54">
        <v>3.0000000000000001E-3</v>
      </c>
      <c r="AA726" s="21"/>
      <c r="AB726" s="21"/>
      <c r="AC726" s="21"/>
      <c r="AD726" s="21"/>
      <c r="AE726" s="53"/>
      <c r="AF726" s="53"/>
      <c r="AG726" s="53"/>
      <c r="AH726" s="15"/>
    </row>
    <row r="727" spans="2:34" ht="14" customHeight="1" x14ac:dyDescent="0.25">
      <c r="B727" s="21">
        <v>13</v>
      </c>
      <c r="C727" s="21" t="s">
        <v>326</v>
      </c>
      <c r="D727" s="50">
        <v>0.05</v>
      </c>
      <c r="E727" s="16">
        <v>1.4E-3</v>
      </c>
      <c r="F727" s="52">
        <v>-0.72222222222222199</v>
      </c>
      <c r="G727" s="52">
        <v>-0.72222222222222199</v>
      </c>
      <c r="I727" s="21">
        <v>13</v>
      </c>
      <c r="J727" s="21" t="s">
        <v>326</v>
      </c>
      <c r="K727" s="57">
        <v>0.69</v>
      </c>
      <c r="L727" s="65">
        <v>3.8E-3</v>
      </c>
      <c r="M727" s="16">
        <v>-0.316831683168317</v>
      </c>
      <c r="N727" s="16"/>
      <c r="O727" s="21">
        <v>13</v>
      </c>
      <c r="P727" s="57" t="s">
        <v>476</v>
      </c>
      <c r="Q727" s="59">
        <v>0.13</v>
      </c>
      <c r="R727" s="53">
        <v>1E-3</v>
      </c>
      <c r="T727" s="21">
        <v>13</v>
      </c>
      <c r="U727" s="56" t="s">
        <v>399</v>
      </c>
      <c r="V727" s="21">
        <v>0.1</v>
      </c>
      <c r="W727" s="54">
        <v>1.6999999999999999E-3</v>
      </c>
      <c r="AA727" s="21"/>
      <c r="AB727" s="21"/>
      <c r="AC727" s="21"/>
      <c r="AD727" s="21"/>
      <c r="AE727" s="53"/>
      <c r="AF727" s="53"/>
      <c r="AG727" s="53"/>
      <c r="AH727" s="15"/>
    </row>
    <row r="728" spans="2:34" ht="14" customHeight="1" x14ac:dyDescent="0.25">
      <c r="B728" s="21">
        <v>14</v>
      </c>
      <c r="C728" s="21" t="s">
        <v>58</v>
      </c>
      <c r="D728" s="50">
        <v>0.04</v>
      </c>
      <c r="E728" s="16">
        <v>1.2999999999999999E-3</v>
      </c>
      <c r="F728" s="52"/>
      <c r="G728" s="52">
        <v>-0.2</v>
      </c>
      <c r="I728" s="21">
        <v>14</v>
      </c>
      <c r="J728" s="21" t="s">
        <v>426</v>
      </c>
      <c r="K728" s="57">
        <v>0.22</v>
      </c>
      <c r="L728" s="65">
        <v>1.1999999999999999E-3</v>
      </c>
      <c r="M728" s="16">
        <v>-0.6</v>
      </c>
      <c r="N728" s="16"/>
      <c r="O728" s="21">
        <v>14</v>
      </c>
      <c r="P728" s="57" t="s">
        <v>426</v>
      </c>
      <c r="Q728" s="59">
        <v>0.12</v>
      </c>
      <c r="R728" s="53">
        <v>1E-3</v>
      </c>
      <c r="T728" s="21">
        <v>14</v>
      </c>
      <c r="U728" s="56" t="s">
        <v>504</v>
      </c>
      <c r="V728" s="21">
        <v>0.1</v>
      </c>
      <c r="W728" s="54">
        <v>1.6000000000000001E-3</v>
      </c>
      <c r="AA728" s="21"/>
      <c r="AB728" s="21"/>
      <c r="AC728" s="21"/>
      <c r="AD728" s="21"/>
      <c r="AE728" s="53"/>
      <c r="AF728" s="53"/>
      <c r="AG728" s="53"/>
      <c r="AH728" s="15"/>
    </row>
    <row r="729" spans="2:34" ht="14" customHeight="1" x14ac:dyDescent="0.25">
      <c r="B729" s="21">
        <v>15</v>
      </c>
      <c r="C729" s="21" t="s">
        <v>342</v>
      </c>
      <c r="D729" s="50">
        <v>0.04</v>
      </c>
      <c r="E729" s="16">
        <v>1.2999999999999999E-3</v>
      </c>
      <c r="F729" s="52"/>
      <c r="G729" s="52">
        <v>0.33333333333333298</v>
      </c>
      <c r="I729" s="21">
        <v>15</v>
      </c>
      <c r="J729" s="21" t="s">
        <v>408</v>
      </c>
      <c r="K729" s="57">
        <v>0.18</v>
      </c>
      <c r="L729" s="65">
        <v>1E-3</v>
      </c>
      <c r="M729" s="16"/>
      <c r="N729" s="16"/>
      <c r="O729" s="21">
        <v>15</v>
      </c>
      <c r="P729" s="57" t="s">
        <v>471</v>
      </c>
      <c r="Q729" s="59">
        <v>0.08</v>
      </c>
      <c r="R729" s="53">
        <v>6.9999999999999999E-4</v>
      </c>
      <c r="T729" s="21">
        <v>15</v>
      </c>
      <c r="U729" s="56" t="s">
        <v>329</v>
      </c>
      <c r="V729" s="21">
        <v>7.0000000000000007E-2</v>
      </c>
      <c r="W729" s="54">
        <v>1.1999999999999999E-3</v>
      </c>
      <c r="AA729" s="21"/>
      <c r="AB729" s="21"/>
      <c r="AC729" s="21"/>
      <c r="AD729" s="21"/>
      <c r="AE729" s="53"/>
      <c r="AF729" s="53"/>
      <c r="AG729" s="53"/>
      <c r="AH729" s="15"/>
    </row>
    <row r="730" spans="2:34" ht="14" customHeight="1" x14ac:dyDescent="0.25">
      <c r="B730" s="21"/>
      <c r="C730" s="21" t="s">
        <v>77</v>
      </c>
      <c r="D730" s="50">
        <f>D731-SUM(D715:D729)</f>
        <v>0.14000000000000767</v>
      </c>
      <c r="E730" s="16">
        <f>E731-SUM(E715:E729)</f>
        <v>4.4000000000002926E-3</v>
      </c>
      <c r="F730" s="52"/>
      <c r="G730" s="52">
        <v>-0.26315789473682</v>
      </c>
      <c r="I730" s="21"/>
      <c r="J730" s="21" t="s">
        <v>77</v>
      </c>
      <c r="K730" s="50">
        <f>K731-SUM(K715:K729)</f>
        <v>1.2399999999999523</v>
      </c>
      <c r="L730" s="65">
        <f>L731-SUM(L715:L729)</f>
        <v>6.7000000000000393E-3</v>
      </c>
      <c r="M730" s="16"/>
      <c r="N730" s="16"/>
      <c r="P730" s="21" t="s">
        <v>77</v>
      </c>
      <c r="Q730" s="50">
        <f>Q731-SUM(Q715:Q729)</f>
        <v>0.17000000000000171</v>
      </c>
      <c r="R730" s="65">
        <f>R731-SUM(R715:R729)</f>
        <v>1.5000000000000568E-3</v>
      </c>
      <c r="T730" s="56"/>
      <c r="U730" s="21" t="s">
        <v>77</v>
      </c>
      <c r="V730" s="50">
        <f>V731-SUM(V715:V729)</f>
        <v>0.23999999999999488</v>
      </c>
      <c r="W730" s="65">
        <f>W731-SUM(W715:W729)</f>
        <v>4.2000000000000925E-3</v>
      </c>
    </row>
    <row r="731" spans="2:34" ht="14" customHeight="1" x14ac:dyDescent="0.25">
      <c r="B731" s="21"/>
      <c r="C731" s="21" t="s">
        <v>78</v>
      </c>
      <c r="D731" s="50">
        <v>32.24</v>
      </c>
      <c r="E731" s="16">
        <f>D731/D731</f>
        <v>1</v>
      </c>
      <c r="F731" s="52"/>
      <c r="G731" s="52">
        <v>-2.00607902735561E-2</v>
      </c>
      <c r="I731" s="21"/>
      <c r="J731" s="21" t="s">
        <v>78</v>
      </c>
      <c r="K731" s="57">
        <v>184.37</v>
      </c>
      <c r="L731" s="65">
        <v>1</v>
      </c>
      <c r="M731" s="16"/>
      <c r="N731" s="16"/>
      <c r="P731" s="21" t="s">
        <v>78</v>
      </c>
      <c r="Q731" s="57">
        <v>125.59</v>
      </c>
      <c r="R731" s="65">
        <v>1</v>
      </c>
      <c r="S731" s="228"/>
      <c r="U731" s="21" t="s">
        <v>78</v>
      </c>
      <c r="V731" s="57">
        <v>58.55</v>
      </c>
      <c r="W731" s="65">
        <v>1</v>
      </c>
      <c r="X731" s="228"/>
    </row>
    <row r="732" spans="2:34" ht="14" customHeight="1" x14ac:dyDescent="0.25">
      <c r="D732" s="43"/>
      <c r="J732" s="43"/>
      <c r="O732" s="227"/>
      <c r="X732" s="227"/>
    </row>
    <row r="733" spans="2:34" ht="14" customHeight="1" x14ac:dyDescent="0.25">
      <c r="D733" s="43"/>
      <c r="J733" s="43"/>
      <c r="O733" s="227"/>
      <c r="X733" s="227"/>
    </row>
    <row r="734" spans="2:34" ht="14" customHeight="1" x14ac:dyDescent="0.25">
      <c r="D734" s="43"/>
      <c r="J734" s="43"/>
      <c r="O734" s="227"/>
      <c r="X734" s="227"/>
    </row>
    <row r="735" spans="2:34" ht="14" customHeight="1" x14ac:dyDescent="0.25">
      <c r="B735" s="15" t="s">
        <v>523</v>
      </c>
      <c r="I735" s="15" t="s">
        <v>524</v>
      </c>
      <c r="O735" s="25" t="s">
        <v>525</v>
      </c>
      <c r="T735" s="25" t="s">
        <v>526</v>
      </c>
      <c r="AA735" s="25"/>
      <c r="AB735" s="25"/>
      <c r="AC735" s="15"/>
      <c r="AD735" s="15"/>
      <c r="AE735" s="15"/>
      <c r="AF735" s="15"/>
      <c r="AH735" s="15"/>
    </row>
    <row r="736" spans="2:34" ht="14" customHeight="1" x14ac:dyDescent="0.25">
      <c r="B736" s="21" t="s">
        <v>334</v>
      </c>
      <c r="C736" s="21" t="s">
        <v>335</v>
      </c>
      <c r="D736" s="9" t="s">
        <v>436</v>
      </c>
      <c r="E736" s="21" t="s">
        <v>337</v>
      </c>
      <c r="F736" s="21" t="s">
        <v>423</v>
      </c>
      <c r="G736" s="21" t="s">
        <v>424</v>
      </c>
      <c r="I736" s="21" t="s">
        <v>334</v>
      </c>
      <c r="J736" s="21" t="s">
        <v>335</v>
      </c>
      <c r="K736" s="9" t="s">
        <v>437</v>
      </c>
      <c r="L736" s="21" t="s">
        <v>337</v>
      </c>
      <c r="M736" s="21" t="s">
        <v>423</v>
      </c>
      <c r="N736" s="21"/>
      <c r="O736" s="21" t="s">
        <v>334</v>
      </c>
      <c r="P736" s="21" t="s">
        <v>335</v>
      </c>
      <c r="Q736" s="50" t="s">
        <v>438</v>
      </c>
      <c r="R736" s="56" t="s">
        <v>384</v>
      </c>
      <c r="S736" s="21"/>
      <c r="T736" s="21" t="s">
        <v>334</v>
      </c>
      <c r="U736" s="56" t="s">
        <v>381</v>
      </c>
      <c r="V736" s="21" t="s">
        <v>438</v>
      </c>
      <c r="W736" s="57" t="s">
        <v>337</v>
      </c>
      <c r="X736" s="21"/>
      <c r="AA736" s="21"/>
      <c r="AB736" s="21"/>
      <c r="AC736" s="21"/>
      <c r="AD736" s="9"/>
      <c r="AE736" s="21"/>
      <c r="AF736" s="21"/>
      <c r="AG736" s="49"/>
      <c r="AH736" s="15"/>
    </row>
    <row r="737" spans="2:34" ht="14" customHeight="1" x14ac:dyDescent="0.25">
      <c r="B737" s="21">
        <v>1</v>
      </c>
      <c r="C737" s="21" t="s">
        <v>68</v>
      </c>
      <c r="D737" s="50">
        <v>14.85</v>
      </c>
      <c r="E737" s="16">
        <v>0.45129999999999998</v>
      </c>
      <c r="F737" s="52">
        <v>0.10820895522388101</v>
      </c>
      <c r="G737" s="52">
        <v>0.27249357326478202</v>
      </c>
      <c r="I737" s="21">
        <v>1</v>
      </c>
      <c r="J737" s="21" t="s">
        <v>68</v>
      </c>
      <c r="K737" s="57">
        <v>66.03</v>
      </c>
      <c r="L737" s="56">
        <v>0.434</v>
      </c>
      <c r="M737" s="16">
        <v>0.25771428571428601</v>
      </c>
      <c r="N737" s="16"/>
      <c r="O737" s="21">
        <v>1</v>
      </c>
      <c r="P737" s="57" t="s">
        <v>69</v>
      </c>
      <c r="Q737" s="59">
        <v>45.4</v>
      </c>
      <c r="R737" s="53">
        <v>0.43680000000000002</v>
      </c>
      <c r="T737" s="21">
        <v>1</v>
      </c>
      <c r="U737" s="56" t="s">
        <v>98</v>
      </c>
      <c r="V737" s="21">
        <v>29.59</v>
      </c>
      <c r="W737" s="54">
        <v>0.61650000000000005</v>
      </c>
      <c r="AA737" s="21"/>
      <c r="AB737" s="21"/>
      <c r="AC737" s="21"/>
      <c r="AD737" s="21"/>
      <c r="AE737" s="53"/>
      <c r="AF737" s="53"/>
      <c r="AG737" s="49"/>
      <c r="AH737" s="15"/>
    </row>
    <row r="738" spans="2:34" ht="14" customHeight="1" x14ac:dyDescent="0.25">
      <c r="B738" s="21">
        <v>2</v>
      </c>
      <c r="C738" s="21" t="s">
        <v>69</v>
      </c>
      <c r="D738" s="50">
        <v>9.01</v>
      </c>
      <c r="E738" s="16">
        <v>0.27379999999999999</v>
      </c>
      <c r="F738" s="52">
        <v>0.79840319361277401</v>
      </c>
      <c r="G738" s="52">
        <v>3.8018433179723497E-2</v>
      </c>
      <c r="I738" s="21">
        <v>2</v>
      </c>
      <c r="J738" s="21" t="s">
        <v>69</v>
      </c>
      <c r="K738" s="57">
        <v>45.41</v>
      </c>
      <c r="L738" s="56">
        <v>0.29849999999999999</v>
      </c>
      <c r="M738" s="16">
        <v>0.909587888982338</v>
      </c>
      <c r="N738" s="16"/>
      <c r="O738" s="21">
        <v>2</v>
      </c>
      <c r="P738" s="57" t="s">
        <v>68</v>
      </c>
      <c r="Q738" s="59">
        <v>36.44</v>
      </c>
      <c r="R738" s="53">
        <v>0.35060000000000002</v>
      </c>
      <c r="T738" s="21">
        <v>2</v>
      </c>
      <c r="U738" s="56" t="s">
        <v>100</v>
      </c>
      <c r="V738" s="21">
        <v>6.42</v>
      </c>
      <c r="W738" s="54">
        <v>0.1338</v>
      </c>
      <c r="AA738" s="21"/>
      <c r="AB738" s="21"/>
      <c r="AC738" s="21"/>
      <c r="AD738" s="21"/>
      <c r="AE738" s="53"/>
      <c r="AF738" s="53"/>
      <c r="AG738" s="53"/>
      <c r="AH738" s="15"/>
    </row>
    <row r="739" spans="2:34" ht="14" customHeight="1" x14ac:dyDescent="0.25">
      <c r="B739" s="21">
        <v>3</v>
      </c>
      <c r="C739" s="21" t="s">
        <v>71</v>
      </c>
      <c r="D739" s="50">
        <v>2.9</v>
      </c>
      <c r="E739" s="16">
        <v>8.8200000000000001E-2</v>
      </c>
      <c r="F739" s="52">
        <v>0.79012345679012297</v>
      </c>
      <c r="G739" s="52">
        <v>0.324200913242009</v>
      </c>
      <c r="I739" s="21">
        <v>3</v>
      </c>
      <c r="J739" s="21" t="s">
        <v>71</v>
      </c>
      <c r="K739" s="57">
        <v>12.56</v>
      </c>
      <c r="L739" s="56">
        <v>8.2600000000000007E-2</v>
      </c>
      <c r="M739" s="16">
        <v>0.50419161676646695</v>
      </c>
      <c r="N739" s="16"/>
      <c r="O739" s="21">
        <v>3</v>
      </c>
      <c r="P739" s="57" t="s">
        <v>71</v>
      </c>
      <c r="Q739" s="59">
        <v>6.14</v>
      </c>
      <c r="R739" s="53">
        <v>5.91E-2</v>
      </c>
      <c r="T739" s="21">
        <v>3</v>
      </c>
      <c r="U739" s="21" t="s">
        <v>127</v>
      </c>
      <c r="V739" s="21">
        <v>2.82</v>
      </c>
      <c r="W739" s="54">
        <v>5.8900000000000001E-2</v>
      </c>
      <c r="AA739" s="21"/>
      <c r="AB739" s="21"/>
      <c r="AC739" s="21"/>
      <c r="AD739" s="21"/>
      <c r="AE739" s="53"/>
      <c r="AF739" s="53"/>
      <c r="AG739" s="53"/>
      <c r="AH739" s="15"/>
    </row>
    <row r="740" spans="2:34" ht="14" customHeight="1" x14ac:dyDescent="0.25">
      <c r="B740" s="21">
        <v>4</v>
      </c>
      <c r="C740" s="21" t="s">
        <v>73</v>
      </c>
      <c r="D740" s="50">
        <v>1.48</v>
      </c>
      <c r="E740" s="16">
        <v>4.5100000000000001E-2</v>
      </c>
      <c r="F740" s="52">
        <v>1.59649122807018</v>
      </c>
      <c r="G740" s="52">
        <v>0.112781954887218</v>
      </c>
      <c r="I740" s="21">
        <v>4</v>
      </c>
      <c r="J740" s="21" t="s">
        <v>73</v>
      </c>
      <c r="K740" s="57">
        <v>6.61</v>
      </c>
      <c r="L740" s="56">
        <v>4.3499999999999997E-2</v>
      </c>
      <c r="M740" s="16">
        <v>1.69795918367347</v>
      </c>
      <c r="N740" s="16"/>
      <c r="O740" s="21">
        <v>4</v>
      </c>
      <c r="P740" s="57" t="s">
        <v>70</v>
      </c>
      <c r="Q740" s="59">
        <v>5.58</v>
      </c>
      <c r="R740" s="53">
        <v>5.3699999999999998E-2</v>
      </c>
      <c r="T740" s="21">
        <v>4</v>
      </c>
      <c r="U740" s="56" t="s">
        <v>181</v>
      </c>
      <c r="V740" s="21">
        <v>2.2999999999999998</v>
      </c>
      <c r="W740" s="54">
        <v>4.8000000000000001E-2</v>
      </c>
      <c r="AA740" s="21"/>
      <c r="AB740" s="21"/>
      <c r="AC740" s="21"/>
      <c r="AD740" s="21"/>
      <c r="AE740" s="53"/>
      <c r="AF740" s="53"/>
      <c r="AG740" s="53"/>
      <c r="AH740" s="15"/>
    </row>
    <row r="741" spans="2:34" ht="14" customHeight="1" x14ac:dyDescent="0.25">
      <c r="B741" s="21">
        <v>5</v>
      </c>
      <c r="C741" s="21" t="s">
        <v>70</v>
      </c>
      <c r="D741" s="50">
        <v>1.22</v>
      </c>
      <c r="E741" s="16">
        <v>3.6900000000000002E-2</v>
      </c>
      <c r="F741" s="52">
        <v>-8.95522388059702E-2</v>
      </c>
      <c r="G741" s="52">
        <v>0.20792079207920799</v>
      </c>
      <c r="I741" s="21">
        <v>5</v>
      </c>
      <c r="J741" s="21" t="s">
        <v>70</v>
      </c>
      <c r="K741" s="57">
        <v>6.05</v>
      </c>
      <c r="L741" s="56">
        <v>3.9800000000000002E-2</v>
      </c>
      <c r="M741" s="16">
        <v>9.6014492753623296E-2</v>
      </c>
      <c r="N741" s="16"/>
      <c r="O741" s="21">
        <v>5</v>
      </c>
      <c r="P741" s="57" t="s">
        <v>73</v>
      </c>
      <c r="Q741" s="59">
        <v>5.23</v>
      </c>
      <c r="R741" s="53">
        <v>5.0299999999999997E-2</v>
      </c>
      <c r="T741" s="21">
        <v>5</v>
      </c>
      <c r="U741" s="56" t="s">
        <v>185</v>
      </c>
      <c r="V741" s="21">
        <v>1.87</v>
      </c>
      <c r="W741" s="54">
        <v>3.9E-2</v>
      </c>
      <c r="AA741" s="21"/>
      <c r="AB741" s="21"/>
      <c r="AC741" s="21"/>
      <c r="AD741" s="21"/>
      <c r="AE741" s="53"/>
      <c r="AF741" s="53"/>
      <c r="AG741" s="53"/>
      <c r="AH741" s="15"/>
    </row>
    <row r="742" spans="2:34" ht="14" customHeight="1" x14ac:dyDescent="0.25">
      <c r="B742" s="21">
        <v>6</v>
      </c>
      <c r="C742" s="21" t="s">
        <v>129</v>
      </c>
      <c r="D742" s="50">
        <v>0.73</v>
      </c>
      <c r="E742" s="16">
        <v>2.2100000000000002E-2</v>
      </c>
      <c r="F742" s="52">
        <v>0.140625</v>
      </c>
      <c r="G742" s="52">
        <v>4.2857142857142899E-2</v>
      </c>
      <c r="I742" s="21">
        <v>6</v>
      </c>
      <c r="J742" s="21" t="s">
        <v>129</v>
      </c>
      <c r="K742" s="57">
        <v>3.74</v>
      </c>
      <c r="L742" s="56">
        <v>2.46E-2</v>
      </c>
      <c r="M742" s="16">
        <v>0.50200803212851397</v>
      </c>
      <c r="N742" s="16"/>
      <c r="O742" s="21">
        <v>6</v>
      </c>
      <c r="P742" s="57" t="s">
        <v>129</v>
      </c>
      <c r="Q742" s="59">
        <v>1.43</v>
      </c>
      <c r="R742" s="53">
        <v>1.38E-2</v>
      </c>
      <c r="T742" s="21">
        <v>6</v>
      </c>
      <c r="U742" s="56" t="s">
        <v>103</v>
      </c>
      <c r="V742" s="21">
        <v>1.38</v>
      </c>
      <c r="W742" s="54">
        <v>2.8799999999999999E-2</v>
      </c>
      <c r="AA742" s="21"/>
      <c r="AB742" s="21"/>
      <c r="AC742" s="21"/>
      <c r="AD742" s="21"/>
      <c r="AE742" s="53"/>
      <c r="AF742" s="53"/>
      <c r="AG742" s="53"/>
      <c r="AH742" s="15"/>
    </row>
    <row r="743" spans="2:34" ht="14" customHeight="1" x14ac:dyDescent="0.25">
      <c r="B743" s="21">
        <v>7</v>
      </c>
      <c r="C743" s="21" t="s">
        <v>323</v>
      </c>
      <c r="D743" s="50">
        <v>0.51</v>
      </c>
      <c r="E743" s="16">
        <v>1.54E-2</v>
      </c>
      <c r="F743" s="52">
        <v>0.88888888888888895</v>
      </c>
      <c r="G743" s="52">
        <v>0.186046511627907</v>
      </c>
      <c r="I743" s="21">
        <v>7</v>
      </c>
      <c r="J743" s="21" t="s">
        <v>127</v>
      </c>
      <c r="K743" s="57">
        <v>2.82</v>
      </c>
      <c r="L743" s="56">
        <v>1.8599999999999998E-2</v>
      </c>
      <c r="M743" s="16">
        <v>-3.1019108280254799</v>
      </c>
      <c r="N743" s="16"/>
      <c r="O743" s="21">
        <v>7</v>
      </c>
      <c r="P743" s="57" t="s">
        <v>74</v>
      </c>
      <c r="Q743" s="59">
        <v>0.91</v>
      </c>
      <c r="R743" s="53">
        <v>8.6999999999999994E-3</v>
      </c>
      <c r="T743" s="21">
        <v>7</v>
      </c>
      <c r="U743" s="56" t="s">
        <v>104</v>
      </c>
      <c r="V743" s="21">
        <v>1.1200000000000001</v>
      </c>
      <c r="W743" s="54">
        <v>2.3400000000000001E-2</v>
      </c>
      <c r="AA743" s="21"/>
      <c r="AB743" s="21"/>
      <c r="AC743" s="21"/>
      <c r="AD743" s="21"/>
      <c r="AE743" s="53"/>
      <c r="AF743" s="53"/>
      <c r="AG743" s="53"/>
      <c r="AH743" s="15"/>
    </row>
    <row r="744" spans="2:34" ht="14" customHeight="1" x14ac:dyDescent="0.25">
      <c r="B744" s="21">
        <v>8</v>
      </c>
      <c r="C744" s="21" t="s">
        <v>74</v>
      </c>
      <c r="D744" s="50">
        <v>0.49</v>
      </c>
      <c r="E744" s="16">
        <v>1.4999999999999999E-2</v>
      </c>
      <c r="F744" s="52">
        <v>-0.140350877192982</v>
      </c>
      <c r="G744" s="52">
        <v>0.4</v>
      </c>
      <c r="I744" s="21">
        <v>8</v>
      </c>
      <c r="J744" s="21" t="s">
        <v>74</v>
      </c>
      <c r="K744" s="57">
        <v>2.04</v>
      </c>
      <c r="L744" s="56">
        <v>1.34E-2</v>
      </c>
      <c r="M744" s="16">
        <v>-0.209302325581395</v>
      </c>
      <c r="N744" s="16"/>
      <c r="O744" s="21">
        <v>8</v>
      </c>
      <c r="P744" s="57" t="s">
        <v>323</v>
      </c>
      <c r="Q744" s="59">
        <v>0.85</v>
      </c>
      <c r="R744" s="53">
        <v>8.2000000000000007E-3</v>
      </c>
      <c r="T744" s="21">
        <v>8</v>
      </c>
      <c r="U744" s="56" t="s">
        <v>392</v>
      </c>
      <c r="V744" s="21">
        <v>0.7</v>
      </c>
      <c r="W744" s="54">
        <v>1.46E-2</v>
      </c>
      <c r="AA744" s="21"/>
      <c r="AB744" s="21"/>
      <c r="AC744" s="21"/>
      <c r="AD744" s="21"/>
      <c r="AE744" s="53"/>
      <c r="AF744" s="53"/>
      <c r="AG744" s="53"/>
      <c r="AH744" s="15"/>
    </row>
    <row r="745" spans="2:34" ht="14" customHeight="1" x14ac:dyDescent="0.25">
      <c r="B745" s="21">
        <v>9</v>
      </c>
      <c r="C745" s="15" t="s">
        <v>172</v>
      </c>
      <c r="D745" s="50">
        <v>0.42</v>
      </c>
      <c r="E745" s="16">
        <v>1.2800000000000001E-2</v>
      </c>
      <c r="F745" s="52">
        <v>-0.74850299401197595</v>
      </c>
      <c r="G745" s="52">
        <v>-0.26</v>
      </c>
      <c r="I745" s="21">
        <v>9</v>
      </c>
      <c r="J745" s="15" t="s">
        <v>185</v>
      </c>
      <c r="K745" s="57">
        <v>1.87</v>
      </c>
      <c r="L745" s="56">
        <v>1.23E-2</v>
      </c>
      <c r="M745" s="16">
        <v>-0.11374407582938401</v>
      </c>
      <c r="N745" s="16"/>
      <c r="O745" s="21">
        <v>9</v>
      </c>
      <c r="P745" s="57" t="s">
        <v>322</v>
      </c>
      <c r="Q745" s="59">
        <v>0.8</v>
      </c>
      <c r="R745" s="53">
        <v>7.7000000000000002E-3</v>
      </c>
      <c r="T745" s="21">
        <v>9</v>
      </c>
      <c r="U745" s="56" t="s">
        <v>101</v>
      </c>
      <c r="V745" s="21">
        <v>0.47</v>
      </c>
      <c r="W745" s="54">
        <v>9.9000000000000008E-3</v>
      </c>
      <c r="AA745" s="21"/>
      <c r="AB745" s="21"/>
      <c r="AC745" s="21"/>
      <c r="AD745" s="21"/>
      <c r="AE745" s="53"/>
      <c r="AF745" s="53"/>
      <c r="AG745" s="53"/>
      <c r="AH745" s="15"/>
    </row>
    <row r="746" spans="2:34" ht="14" customHeight="1" x14ac:dyDescent="0.25">
      <c r="B746" s="21">
        <v>10</v>
      </c>
      <c r="C746" s="21" t="s">
        <v>357</v>
      </c>
      <c r="D746" s="50">
        <v>0.37</v>
      </c>
      <c r="E746" s="16">
        <v>1.14E-2</v>
      </c>
      <c r="F746" s="52">
        <v>-0.22916666666666699</v>
      </c>
      <c r="G746" s="52">
        <v>-0.119047619047619</v>
      </c>
      <c r="I746" s="21">
        <v>10</v>
      </c>
      <c r="J746" s="21" t="s">
        <v>323</v>
      </c>
      <c r="K746" s="57">
        <v>1.25</v>
      </c>
      <c r="L746" s="56">
        <v>8.2000000000000007E-3</v>
      </c>
      <c r="M746" s="16">
        <v>0.66666666666666696</v>
      </c>
      <c r="N746" s="16"/>
      <c r="O746" s="21">
        <v>10</v>
      </c>
      <c r="P746" s="57" t="s">
        <v>326</v>
      </c>
      <c r="Q746" s="59">
        <v>0.43</v>
      </c>
      <c r="R746" s="53">
        <v>4.1000000000000003E-3</v>
      </c>
      <c r="T746" s="21">
        <v>10</v>
      </c>
      <c r="U746" s="56" t="s">
        <v>370</v>
      </c>
      <c r="V746" s="21">
        <v>0.4</v>
      </c>
      <c r="W746" s="54">
        <v>8.3000000000000001E-3</v>
      </c>
      <c r="AA746" s="21"/>
      <c r="AB746" s="21"/>
      <c r="AC746" s="21"/>
      <c r="AD746" s="21"/>
      <c r="AE746" s="53"/>
      <c r="AF746" s="53"/>
      <c r="AG746" s="53"/>
      <c r="AH746" s="15"/>
    </row>
    <row r="747" spans="2:34" ht="14" customHeight="1" x14ac:dyDescent="0.25">
      <c r="B747" s="21">
        <v>11</v>
      </c>
      <c r="C747" s="21" t="s">
        <v>322</v>
      </c>
      <c r="D747" s="50">
        <v>0.28000000000000003</v>
      </c>
      <c r="E747" s="16">
        <v>8.6999999999999994E-3</v>
      </c>
      <c r="F747" s="52">
        <f>0.28/48-1</f>
        <v>-0.99416666666666664</v>
      </c>
      <c r="G747" s="65">
        <f>0.28/0.41-1</f>
        <v>-0.31707317073170727</v>
      </c>
      <c r="I747" s="21">
        <v>11</v>
      </c>
      <c r="J747" s="21" t="s">
        <v>322</v>
      </c>
      <c r="K747" s="57">
        <v>1.1100000000000001</v>
      </c>
      <c r="L747" s="65">
        <v>7.3000000000000001E-3</v>
      </c>
      <c r="M747" s="16">
        <f>1.11/1.34-1</f>
        <v>-0.17164179104477606</v>
      </c>
      <c r="N747" s="16"/>
      <c r="O747" s="21">
        <v>11</v>
      </c>
      <c r="P747" s="57" t="s">
        <v>408</v>
      </c>
      <c r="Q747" s="59">
        <v>0.15</v>
      </c>
      <c r="R747" s="53">
        <v>1.5E-3</v>
      </c>
      <c r="T747" s="21">
        <v>11</v>
      </c>
      <c r="U747" s="56" t="s">
        <v>369</v>
      </c>
      <c r="V747" s="21">
        <v>0.31</v>
      </c>
      <c r="W747" s="54">
        <v>6.4000000000000003E-3</v>
      </c>
      <c r="AA747" s="21"/>
      <c r="AB747" s="21"/>
      <c r="AC747" s="21"/>
      <c r="AD747" s="21"/>
      <c r="AE747" s="53"/>
      <c r="AF747" s="53"/>
      <c r="AG747" s="53"/>
      <c r="AH747" s="15"/>
    </row>
    <row r="748" spans="2:34" ht="14" customHeight="1" x14ac:dyDescent="0.25">
      <c r="B748" s="21">
        <v>12</v>
      </c>
      <c r="C748" s="21" t="s">
        <v>509</v>
      </c>
      <c r="D748" s="50">
        <v>0.19</v>
      </c>
      <c r="E748" s="16">
        <v>5.7000000000000002E-3</v>
      </c>
      <c r="F748" s="65">
        <f>0.19/0.1-1</f>
        <v>0.89999999999999991</v>
      </c>
      <c r="G748" s="65">
        <f>0.19/0.06-1</f>
        <v>2.166666666666667</v>
      </c>
      <c r="I748" s="21">
        <v>12</v>
      </c>
      <c r="J748" s="21" t="s">
        <v>509</v>
      </c>
      <c r="K748" s="57">
        <v>0.73</v>
      </c>
      <c r="L748" s="65">
        <v>4.7999999999999996E-3</v>
      </c>
      <c r="M748" s="16">
        <f>0.73/0.9-1</f>
        <v>-0.18888888888888888</v>
      </c>
      <c r="N748" s="16"/>
      <c r="O748" s="21">
        <v>12</v>
      </c>
      <c r="P748" s="57" t="s">
        <v>485</v>
      </c>
      <c r="Q748" s="59">
        <v>0.15</v>
      </c>
      <c r="R748" s="53">
        <v>1.4E-3</v>
      </c>
      <c r="T748" s="21">
        <v>12</v>
      </c>
      <c r="U748" s="56" t="s">
        <v>58</v>
      </c>
      <c r="V748" s="21">
        <v>0.13</v>
      </c>
      <c r="W748" s="54">
        <v>2.8E-3</v>
      </c>
      <c r="AA748" s="21"/>
      <c r="AB748" s="21"/>
      <c r="AC748" s="21"/>
      <c r="AD748" s="21"/>
      <c r="AE748" s="53"/>
      <c r="AF748" s="53"/>
      <c r="AG748" s="53"/>
      <c r="AH748" s="15"/>
    </row>
    <row r="749" spans="2:34" ht="14" customHeight="1" x14ac:dyDescent="0.25">
      <c r="B749" s="21">
        <v>13</v>
      </c>
      <c r="C749" s="21" t="s">
        <v>326</v>
      </c>
      <c r="D749" s="50">
        <v>0.18</v>
      </c>
      <c r="E749" s="16">
        <v>5.5999999999999999E-3</v>
      </c>
      <c r="F749" s="65">
        <f>0.18/0.18-1</f>
        <v>0</v>
      </c>
      <c r="G749" s="65">
        <f>0.18/0.12-1</f>
        <v>0.5</v>
      </c>
      <c r="I749" s="21">
        <v>13</v>
      </c>
      <c r="J749" s="21" t="s">
        <v>326</v>
      </c>
      <c r="K749" s="57">
        <v>0.48</v>
      </c>
      <c r="L749" s="65">
        <v>3.0999999999999999E-3</v>
      </c>
      <c r="M749" s="16">
        <f>0.48/1.01-1</f>
        <v>-0.52475247524752477</v>
      </c>
      <c r="N749" s="16"/>
      <c r="O749" s="21">
        <v>13</v>
      </c>
      <c r="P749" s="57" t="s">
        <v>476</v>
      </c>
      <c r="Q749" s="59">
        <v>0.12</v>
      </c>
      <c r="R749" s="53">
        <v>1.1000000000000001E-3</v>
      </c>
      <c r="T749" s="21">
        <v>13</v>
      </c>
      <c r="U749" s="56" t="s">
        <v>399</v>
      </c>
      <c r="V749" s="21">
        <v>0.1</v>
      </c>
      <c r="W749" s="54">
        <v>2E-3</v>
      </c>
      <c r="AA749" s="21"/>
      <c r="AB749" s="21"/>
      <c r="AC749" s="21"/>
      <c r="AD749" s="21"/>
      <c r="AE749" s="53"/>
      <c r="AF749" s="53"/>
      <c r="AG749" s="53"/>
      <c r="AH749" s="15"/>
    </row>
    <row r="750" spans="2:34" ht="14" customHeight="1" x14ac:dyDescent="0.25">
      <c r="B750" s="21">
        <v>14</v>
      </c>
      <c r="C750" s="21" t="s">
        <v>58</v>
      </c>
      <c r="D750" s="50">
        <v>0.05</v>
      </c>
      <c r="E750" s="16">
        <v>1.5E-3</v>
      </c>
      <c r="F750" s="65"/>
      <c r="G750" s="65">
        <f>0.05/0.03-1</f>
        <v>0.66666666666666674</v>
      </c>
      <c r="I750" s="21">
        <v>14</v>
      </c>
      <c r="J750" s="21" t="s">
        <v>426</v>
      </c>
      <c r="K750" s="57">
        <v>0.18</v>
      </c>
      <c r="L750" s="65">
        <v>1.1999999999999999E-3</v>
      </c>
      <c r="M750" s="16">
        <f>0.18/0.55-1</f>
        <v>-0.67272727272727284</v>
      </c>
      <c r="N750" s="16"/>
      <c r="O750" s="21">
        <v>14</v>
      </c>
      <c r="P750" s="57" t="s">
        <v>426</v>
      </c>
      <c r="Q750" s="59">
        <v>0.08</v>
      </c>
      <c r="R750" s="53">
        <v>8.0000000000000004E-4</v>
      </c>
      <c r="T750" s="21">
        <v>14</v>
      </c>
      <c r="U750" s="56" t="s">
        <v>504</v>
      </c>
      <c r="V750" s="21">
        <v>0.09</v>
      </c>
      <c r="W750" s="54">
        <v>2E-3</v>
      </c>
      <c r="AA750" s="21"/>
      <c r="AB750" s="21"/>
      <c r="AC750" s="21"/>
      <c r="AD750" s="21"/>
      <c r="AE750" s="53"/>
      <c r="AF750" s="53"/>
      <c r="AG750" s="53"/>
      <c r="AH750" s="15"/>
    </row>
    <row r="751" spans="2:34" ht="14" customHeight="1" x14ac:dyDescent="0.25">
      <c r="B751" s="21">
        <v>15</v>
      </c>
      <c r="C751" s="21" t="s">
        <v>342</v>
      </c>
      <c r="D751" s="50">
        <v>0.03</v>
      </c>
      <c r="E751" s="16">
        <v>1E-3</v>
      </c>
      <c r="F751" s="65"/>
      <c r="G751" s="65">
        <f>0.03/0.04-1</f>
        <v>-0.25</v>
      </c>
      <c r="I751" s="21">
        <v>15</v>
      </c>
      <c r="J751" s="21" t="s">
        <v>408</v>
      </c>
      <c r="K751" s="57">
        <v>0.15</v>
      </c>
      <c r="L751" s="65">
        <v>1E-3</v>
      </c>
      <c r="O751" s="21">
        <v>15</v>
      </c>
      <c r="P751" s="57" t="s">
        <v>471</v>
      </c>
      <c r="Q751" s="59">
        <v>0.06</v>
      </c>
      <c r="R751" s="53">
        <v>5.9999999999999995E-4</v>
      </c>
      <c r="T751" s="21">
        <v>15</v>
      </c>
      <c r="U751" s="56" t="s">
        <v>487</v>
      </c>
      <c r="V751" s="21">
        <v>0.06</v>
      </c>
      <c r="W751" s="54">
        <v>1.2999999999999999E-3</v>
      </c>
      <c r="AA751" s="21"/>
      <c r="AB751" s="21"/>
      <c r="AC751" s="21"/>
      <c r="AD751" s="21"/>
      <c r="AE751" s="53"/>
      <c r="AF751" s="53"/>
      <c r="AG751" s="53"/>
      <c r="AH751" s="15"/>
    </row>
    <row r="752" spans="2:34" ht="14" customHeight="1" x14ac:dyDescent="0.25">
      <c r="B752" s="21"/>
      <c r="C752" s="21" t="s">
        <v>77</v>
      </c>
      <c r="D752" s="50">
        <f>D753-SUM(D737:D751)</f>
        <v>0.19000000000000483</v>
      </c>
      <c r="E752" s="16">
        <f>E753-SUM(E737:E751)</f>
        <v>5.4999999999999494E-3</v>
      </c>
      <c r="F752" s="65"/>
      <c r="G752" s="65">
        <f>0.19/0.12-1</f>
        <v>0.58333333333333348</v>
      </c>
      <c r="I752" s="21"/>
      <c r="J752" s="21" t="s">
        <v>77</v>
      </c>
      <c r="K752" s="50">
        <f>K753-SUM(K737:K751)</f>
        <v>1.0999999999999659</v>
      </c>
      <c r="L752" s="65">
        <f>L753-SUM(L737:L751)</f>
        <v>7.1000000000003283E-3</v>
      </c>
      <c r="P752" s="21" t="s">
        <v>77</v>
      </c>
      <c r="Q752" s="50">
        <f>Q753-SUM(Q737:Q751)</f>
        <v>0.15999999999998238</v>
      </c>
      <c r="R752" s="65">
        <f>R753-SUM(R737:R751)</f>
        <v>1.5999999999998238E-3</v>
      </c>
      <c r="T752" s="56"/>
      <c r="U752" s="21" t="s">
        <v>77</v>
      </c>
      <c r="V752" s="50">
        <f>V753-SUM(V737:V751)</f>
        <v>0.22999999999999687</v>
      </c>
      <c r="W752" s="65">
        <f>W753-SUM(W737:W751)</f>
        <v>4.2999999999999705E-3</v>
      </c>
    </row>
    <row r="753" spans="2:24" ht="14" customHeight="1" x14ac:dyDescent="0.25">
      <c r="B753" s="21"/>
      <c r="C753" s="21" t="s">
        <v>78</v>
      </c>
      <c r="D753" s="50">
        <v>32.9</v>
      </c>
      <c r="E753" s="16">
        <f>D753/D753</f>
        <v>1</v>
      </c>
      <c r="F753" s="65"/>
      <c r="G753" s="65">
        <f>32.9/28.24-1</f>
        <v>0.16501416430594906</v>
      </c>
      <c r="I753" s="21"/>
      <c r="J753" s="21" t="s">
        <v>78</v>
      </c>
      <c r="K753" s="57">
        <v>152.13</v>
      </c>
      <c r="L753" s="65">
        <v>1</v>
      </c>
      <c r="M753" s="16"/>
      <c r="N753" s="16"/>
      <c r="P753" s="21" t="s">
        <v>78</v>
      </c>
      <c r="Q753" s="57">
        <v>103.93</v>
      </c>
      <c r="R753" s="65">
        <v>1</v>
      </c>
      <c r="S753" s="228"/>
      <c r="U753" s="21" t="s">
        <v>78</v>
      </c>
      <c r="V753" s="57">
        <v>47.99</v>
      </c>
      <c r="W753" s="65">
        <v>1</v>
      </c>
      <c r="X753" s="228"/>
    </row>
    <row r="754" spans="2:24" ht="14" customHeight="1" x14ac:dyDescent="0.25">
      <c r="D754" s="43"/>
      <c r="J754" s="43"/>
      <c r="O754" s="227"/>
      <c r="X754" s="227"/>
    </row>
    <row r="755" spans="2:24" ht="14" customHeight="1" x14ac:dyDescent="0.25">
      <c r="D755" s="43"/>
      <c r="J755" s="43"/>
      <c r="O755" s="227"/>
      <c r="X755" s="227"/>
    </row>
    <row r="756" spans="2:24" ht="14" customHeight="1" x14ac:dyDescent="0.25">
      <c r="D756" s="43"/>
      <c r="J756" s="43"/>
      <c r="O756" s="227"/>
      <c r="X756" s="227"/>
    </row>
    <row r="757" spans="2:24" ht="14" customHeight="1" x14ac:dyDescent="0.25">
      <c r="B757" s="15" t="s">
        <v>527</v>
      </c>
      <c r="I757" s="15" t="s">
        <v>528</v>
      </c>
      <c r="O757" s="25" t="s">
        <v>529</v>
      </c>
      <c r="T757" s="25" t="s">
        <v>530</v>
      </c>
    </row>
    <row r="758" spans="2:24" ht="14" customHeight="1" x14ac:dyDescent="0.25">
      <c r="B758" s="21" t="s">
        <v>334</v>
      </c>
      <c r="C758" s="21" t="s">
        <v>335</v>
      </c>
      <c r="D758" s="9" t="s">
        <v>436</v>
      </c>
      <c r="E758" s="21" t="s">
        <v>337</v>
      </c>
      <c r="F758" s="21" t="s">
        <v>423</v>
      </c>
      <c r="G758" s="21" t="s">
        <v>424</v>
      </c>
      <c r="I758" s="21" t="s">
        <v>334</v>
      </c>
      <c r="J758" s="21" t="s">
        <v>335</v>
      </c>
      <c r="K758" s="9" t="s">
        <v>437</v>
      </c>
      <c r="L758" s="21" t="s">
        <v>337</v>
      </c>
      <c r="M758" s="21" t="s">
        <v>423</v>
      </c>
      <c r="N758" s="21"/>
      <c r="O758" s="21" t="s">
        <v>334</v>
      </c>
      <c r="P758" s="21" t="s">
        <v>335</v>
      </c>
      <c r="Q758" s="50" t="s">
        <v>438</v>
      </c>
      <c r="R758" s="56" t="s">
        <v>384</v>
      </c>
      <c r="S758" s="21"/>
      <c r="T758" s="21" t="s">
        <v>334</v>
      </c>
      <c r="U758" s="56" t="s">
        <v>381</v>
      </c>
      <c r="V758" s="21" t="s">
        <v>438</v>
      </c>
      <c r="W758" s="57" t="s">
        <v>337</v>
      </c>
      <c r="X758" s="21"/>
    </row>
    <row r="759" spans="2:24" ht="14" customHeight="1" x14ac:dyDescent="0.25">
      <c r="B759" s="21">
        <v>1</v>
      </c>
      <c r="C759" s="21" t="s">
        <v>68</v>
      </c>
      <c r="D759" s="50">
        <v>11.67</v>
      </c>
      <c r="E759" s="16">
        <v>0.41310000000000002</v>
      </c>
      <c r="F759" s="16">
        <f>11.67/8.51-1</f>
        <v>0.37132784958871912</v>
      </c>
      <c r="G759" s="16">
        <f>D759/D781-1</f>
        <v>0.13742690058479523</v>
      </c>
      <c r="I759" s="21">
        <v>1</v>
      </c>
      <c r="J759" s="21" t="s">
        <v>68</v>
      </c>
      <c r="K759" s="57">
        <v>51.18</v>
      </c>
      <c r="L759" s="56">
        <v>0.42930000000000001</v>
      </c>
      <c r="M759" s="16">
        <f>51.18/39.1-1</f>
        <v>0.3089514066496164</v>
      </c>
      <c r="N759" s="16"/>
      <c r="O759" s="21">
        <v>1</v>
      </c>
      <c r="P759" s="57" t="s">
        <v>69</v>
      </c>
      <c r="Q759" s="59">
        <v>36.39</v>
      </c>
      <c r="R759" s="53">
        <v>0.44819999999999999</v>
      </c>
      <c r="T759" s="21">
        <v>1</v>
      </c>
      <c r="U759" s="56" t="s">
        <v>98</v>
      </c>
      <c r="V759" s="21">
        <v>23.21</v>
      </c>
      <c r="W759" s="54">
        <v>0.61229999999999996</v>
      </c>
    </row>
    <row r="760" spans="2:24" ht="14" customHeight="1" x14ac:dyDescent="0.25">
      <c r="B760" s="21">
        <v>2</v>
      </c>
      <c r="C760" s="21" t="s">
        <v>69</v>
      </c>
      <c r="D760" s="50">
        <v>8.68</v>
      </c>
      <c r="E760" s="16">
        <v>0.30719999999999997</v>
      </c>
      <c r="F760" s="16">
        <f>8.68/4.09-1</f>
        <v>1.122249388753056</v>
      </c>
      <c r="G760" s="16">
        <f t="shared" ref="G760:G775" si="50">D760/D782-1</f>
        <v>0.18579234972677594</v>
      </c>
      <c r="I760" s="21">
        <v>2</v>
      </c>
      <c r="J760" s="21" t="s">
        <v>69</v>
      </c>
      <c r="K760" s="57">
        <v>36.4</v>
      </c>
      <c r="L760" s="56">
        <v>0.30530000000000002</v>
      </c>
      <c r="M760" s="16">
        <f>36.4/18.77-1</f>
        <v>0.93926478423015447</v>
      </c>
      <c r="N760" s="16"/>
      <c r="O760" s="21">
        <v>2</v>
      </c>
      <c r="P760" s="57" t="s">
        <v>68</v>
      </c>
      <c r="Q760" s="59">
        <v>27.97</v>
      </c>
      <c r="R760" s="53">
        <v>0.34439999999999998</v>
      </c>
      <c r="T760" s="21">
        <v>2</v>
      </c>
      <c r="U760" s="56" t="s">
        <v>100</v>
      </c>
      <c r="V760" s="21">
        <v>5.12</v>
      </c>
      <c r="W760" s="54">
        <v>0.1351</v>
      </c>
    </row>
    <row r="761" spans="2:24" ht="14" customHeight="1" x14ac:dyDescent="0.25">
      <c r="B761" s="21">
        <v>3</v>
      </c>
      <c r="C761" s="21" t="s">
        <v>71</v>
      </c>
      <c r="D761" s="50">
        <v>2.19</v>
      </c>
      <c r="E761" s="16">
        <v>7.7600000000000002E-2</v>
      </c>
      <c r="F761" s="16">
        <f>2.19/1.64-1</f>
        <v>0.33536585365853666</v>
      </c>
      <c r="G761" s="16">
        <f t="shared" si="50"/>
        <v>-4.5454545454546302E-3</v>
      </c>
      <c r="I761" s="21">
        <v>3</v>
      </c>
      <c r="J761" s="21" t="s">
        <v>71</v>
      </c>
      <c r="K761" s="57">
        <v>9.66</v>
      </c>
      <c r="L761" s="56">
        <v>8.1000000000000003E-2</v>
      </c>
      <c r="M761" s="16">
        <f>9.66/6.73-1</f>
        <v>0.43536404160475484</v>
      </c>
      <c r="N761" s="16"/>
      <c r="O761" s="21">
        <v>3</v>
      </c>
      <c r="P761" s="57" t="s">
        <v>70</v>
      </c>
      <c r="Q761" s="59">
        <v>4.54</v>
      </c>
      <c r="R761" s="53">
        <v>5.5899999999999998E-2</v>
      </c>
      <c r="T761" s="21">
        <v>3</v>
      </c>
      <c r="U761" s="21" t="s">
        <v>127</v>
      </c>
      <c r="V761" s="21">
        <v>2.4</v>
      </c>
      <c r="W761" s="54">
        <v>6.3399999999999998E-2</v>
      </c>
    </row>
    <row r="762" spans="2:24" ht="14" customHeight="1" x14ac:dyDescent="0.25">
      <c r="B762" s="21">
        <v>4</v>
      </c>
      <c r="C762" s="21" t="s">
        <v>73</v>
      </c>
      <c r="D762" s="50">
        <v>1.33</v>
      </c>
      <c r="E762" s="16">
        <v>4.7100000000000003E-2</v>
      </c>
      <c r="F762" s="16">
        <f>1.33/0.5-1</f>
        <v>1.6600000000000001</v>
      </c>
      <c r="G762" s="16">
        <f t="shared" si="50"/>
        <v>-3.6231884057970842E-2</v>
      </c>
      <c r="I762" s="21">
        <v>4</v>
      </c>
      <c r="J762" s="21" t="s">
        <v>73</v>
      </c>
      <c r="K762" s="57">
        <v>5.13</v>
      </c>
      <c r="L762" s="56">
        <v>4.2999999999999997E-2</v>
      </c>
      <c r="M762" s="16">
        <f>5.13/1.88-1</f>
        <v>1.7287234042553195</v>
      </c>
      <c r="N762" s="16"/>
      <c r="O762" s="21">
        <v>4</v>
      </c>
      <c r="P762" s="57" t="s">
        <v>71</v>
      </c>
      <c r="Q762" s="59">
        <v>4.4400000000000004</v>
      </c>
      <c r="R762" s="53">
        <v>5.4699999999999999E-2</v>
      </c>
      <c r="T762" s="21">
        <v>4</v>
      </c>
      <c r="U762" s="56" t="s">
        <v>181</v>
      </c>
      <c r="V762" s="21">
        <v>1.96</v>
      </c>
      <c r="W762" s="54">
        <v>5.16E-2</v>
      </c>
    </row>
    <row r="763" spans="2:24" ht="14" customHeight="1" x14ac:dyDescent="0.25">
      <c r="B763" s="21">
        <v>5</v>
      </c>
      <c r="C763" s="21" t="s">
        <v>70</v>
      </c>
      <c r="D763" s="50">
        <v>1.01</v>
      </c>
      <c r="E763" s="16">
        <v>3.5799999999999998E-2</v>
      </c>
      <c r="F763" s="16">
        <f>1.01/0.91-1</f>
        <v>0.10989010989010994</v>
      </c>
      <c r="G763" s="16">
        <f t="shared" si="50"/>
        <v>-0.14406779661016944</v>
      </c>
      <c r="I763" s="21">
        <v>5</v>
      </c>
      <c r="J763" s="21" t="s">
        <v>70</v>
      </c>
      <c r="K763" s="57">
        <v>4.84</v>
      </c>
      <c r="L763" s="56">
        <v>4.0599999999999997E-2</v>
      </c>
      <c r="M763" s="16">
        <f>4.84/4.19-1</f>
        <v>0.15513126491646756</v>
      </c>
      <c r="N763" s="16"/>
      <c r="O763" s="21">
        <v>5</v>
      </c>
      <c r="P763" s="57" t="s">
        <v>73</v>
      </c>
      <c r="Q763" s="59">
        <v>4.07</v>
      </c>
      <c r="R763" s="53">
        <v>5.0099999999999999E-2</v>
      </c>
      <c r="T763" s="21">
        <v>5</v>
      </c>
      <c r="U763" s="56" t="s">
        <v>185</v>
      </c>
      <c r="V763" s="21">
        <v>1.5</v>
      </c>
      <c r="W763" s="54">
        <v>3.95E-2</v>
      </c>
    </row>
    <row r="764" spans="2:24" ht="14" customHeight="1" x14ac:dyDescent="0.25">
      <c r="B764" s="21">
        <v>6</v>
      </c>
      <c r="C764" s="21" t="s">
        <v>129</v>
      </c>
      <c r="D764" s="50">
        <v>0.7</v>
      </c>
      <c r="E764" s="16">
        <v>2.5000000000000001E-2</v>
      </c>
      <c r="F764" s="16">
        <f>0.7/0.54-1</f>
        <v>0.29629629629629606</v>
      </c>
      <c r="G764" s="16">
        <f t="shared" si="50"/>
        <v>-0.23076923076923084</v>
      </c>
      <c r="I764" s="21">
        <v>6</v>
      </c>
      <c r="J764" s="21" t="s">
        <v>129</v>
      </c>
      <c r="K764" s="57">
        <v>3.01</v>
      </c>
      <c r="L764" s="56">
        <v>2.53E-2</v>
      </c>
      <c r="M764" s="16">
        <f>3.01/1.85-1</f>
        <v>0.62702702702702684</v>
      </c>
      <c r="N764" s="16"/>
      <c r="O764" s="21">
        <v>6</v>
      </c>
      <c r="P764" s="57" t="s">
        <v>129</v>
      </c>
      <c r="Q764" s="59">
        <v>1.03</v>
      </c>
      <c r="R764" s="53">
        <v>1.2999999999999999E-2</v>
      </c>
      <c r="T764" s="21">
        <v>6</v>
      </c>
      <c r="U764" s="56" t="s">
        <v>103</v>
      </c>
      <c r="V764" s="21">
        <v>1.06</v>
      </c>
      <c r="W764" s="54">
        <v>2.7900000000000001E-2</v>
      </c>
    </row>
    <row r="765" spans="2:24" ht="14" customHeight="1" x14ac:dyDescent="0.25">
      <c r="B765" s="21">
        <v>7</v>
      </c>
      <c r="C765" s="21" t="s">
        <v>127</v>
      </c>
      <c r="D765" s="50">
        <v>0.68</v>
      </c>
      <c r="E765" s="16">
        <v>2.3900000000000001E-2</v>
      </c>
      <c r="F765" s="16">
        <f>0.68/0.13-1</f>
        <v>4.2307692307692308</v>
      </c>
      <c r="G765" s="16">
        <f t="shared" si="50"/>
        <v>0.54545454545454564</v>
      </c>
      <c r="I765" s="21">
        <v>7</v>
      </c>
      <c r="J765" s="21" t="s">
        <v>127</v>
      </c>
      <c r="K765" s="57">
        <v>2.4</v>
      </c>
      <c r="L765" s="56">
        <v>2.0199999999999999E-2</v>
      </c>
      <c r="M765" s="16">
        <f>2.4/1.47-1</f>
        <v>0.63265306122448983</v>
      </c>
      <c r="N765" s="16"/>
      <c r="O765" s="21">
        <v>7</v>
      </c>
      <c r="P765" s="57" t="s">
        <v>74</v>
      </c>
      <c r="Q765" s="59">
        <v>0.74</v>
      </c>
      <c r="R765" s="53">
        <v>9.1999999999999998E-3</v>
      </c>
      <c r="T765" s="21">
        <v>7</v>
      </c>
      <c r="U765" s="56" t="s">
        <v>104</v>
      </c>
      <c r="V765" s="21">
        <v>0.8</v>
      </c>
      <c r="W765" s="54">
        <v>2.1000000000000001E-2</v>
      </c>
    </row>
    <row r="766" spans="2:24" ht="14" customHeight="1" x14ac:dyDescent="0.25">
      <c r="B766" s="21">
        <v>8</v>
      </c>
      <c r="C766" s="21" t="s">
        <v>323</v>
      </c>
      <c r="D766" s="50">
        <v>0.43</v>
      </c>
      <c r="E766" s="16">
        <v>1.52E-2</v>
      </c>
      <c r="F766" s="16">
        <f>0.43/0.18-1</f>
        <v>1.3888888888888888</v>
      </c>
      <c r="G766" s="16">
        <f>D766/D791-1</f>
        <v>1.8666666666666667</v>
      </c>
      <c r="I766" s="21">
        <v>8</v>
      </c>
      <c r="J766" s="21" t="s">
        <v>74</v>
      </c>
      <c r="K766" s="57">
        <v>1.55</v>
      </c>
      <c r="L766" s="56">
        <v>1.2999999999999999E-2</v>
      </c>
      <c r="M766" s="16">
        <f>1.55/2.01-1</f>
        <v>-0.22885572139303467</v>
      </c>
      <c r="N766" s="16"/>
      <c r="O766" s="21">
        <v>8</v>
      </c>
      <c r="P766" s="57" t="s">
        <v>322</v>
      </c>
      <c r="Q766" s="59">
        <v>0.62</v>
      </c>
      <c r="R766" s="53">
        <v>7.7000000000000002E-3</v>
      </c>
      <c r="T766" s="21">
        <v>8</v>
      </c>
      <c r="U766" s="56" t="s">
        <v>392</v>
      </c>
      <c r="V766" s="21">
        <v>0.52</v>
      </c>
      <c r="W766" s="54">
        <v>1.38E-2</v>
      </c>
    </row>
    <row r="767" spans="2:24" ht="14" customHeight="1" x14ac:dyDescent="0.25">
      <c r="B767" s="21">
        <v>9</v>
      </c>
      <c r="C767" s="15" t="s">
        <v>185</v>
      </c>
      <c r="D767" s="50">
        <v>0.42</v>
      </c>
      <c r="E767" s="16">
        <v>1.4800000000000001E-2</v>
      </c>
      <c r="F767" s="16">
        <f>0.42/0.43-1</f>
        <v>-2.3255813953488413E-2</v>
      </c>
      <c r="G767" s="16">
        <f>D767/D789-1</f>
        <v>0.44827586206896552</v>
      </c>
      <c r="I767" s="21">
        <v>9</v>
      </c>
      <c r="J767" s="15" t="s">
        <v>185</v>
      </c>
      <c r="K767" s="57">
        <v>1.5</v>
      </c>
      <c r="L767" s="56">
        <v>1.26E-2</v>
      </c>
      <c r="M767" s="16">
        <f>1.5/1.62-1</f>
        <v>-7.4074074074074181E-2</v>
      </c>
      <c r="N767" s="16"/>
      <c r="O767" s="21">
        <v>9</v>
      </c>
      <c r="P767" s="57" t="s">
        <v>323</v>
      </c>
      <c r="Q767" s="59">
        <v>0.5</v>
      </c>
      <c r="R767" s="53">
        <v>6.1999999999999998E-3</v>
      </c>
      <c r="T767" s="21">
        <v>9</v>
      </c>
      <c r="U767" s="56" t="s">
        <v>101</v>
      </c>
      <c r="V767" s="21">
        <v>0.4</v>
      </c>
      <c r="W767" s="54">
        <v>1.0500000000000001E-2</v>
      </c>
    </row>
    <row r="768" spans="2:24" ht="14" customHeight="1" x14ac:dyDescent="0.25">
      <c r="B768" s="21">
        <v>10</v>
      </c>
      <c r="C768" s="21" t="s">
        <v>322</v>
      </c>
      <c r="D768" s="50">
        <v>0.41</v>
      </c>
      <c r="E768" s="16">
        <v>1.44E-2</v>
      </c>
      <c r="F768" s="16">
        <f>0.41/0.22-1</f>
        <v>0.86363636363636354</v>
      </c>
      <c r="G768" s="16">
        <f>D768/D790-1</f>
        <v>1.5625</v>
      </c>
      <c r="I768" s="21">
        <v>10</v>
      </c>
      <c r="J768" s="21" t="s">
        <v>322</v>
      </c>
      <c r="K768" s="57">
        <v>0.83</v>
      </c>
      <c r="L768" s="56">
        <v>6.8999999999999999E-3</v>
      </c>
      <c r="M768" s="16">
        <f>0.83/0.86-1</f>
        <v>-3.488372093023262E-2</v>
      </c>
      <c r="N768" s="16"/>
      <c r="O768" s="21">
        <v>10</v>
      </c>
      <c r="P768" s="57" t="s">
        <v>326</v>
      </c>
      <c r="Q768" s="59">
        <v>0.26</v>
      </c>
      <c r="R768" s="53">
        <v>3.2000000000000002E-3</v>
      </c>
      <c r="T768" s="21">
        <v>10</v>
      </c>
      <c r="U768" s="56" t="s">
        <v>369</v>
      </c>
      <c r="V768" s="21">
        <v>0.24</v>
      </c>
      <c r="W768" s="54">
        <v>6.3E-3</v>
      </c>
    </row>
    <row r="769" spans="2:24" ht="14" customHeight="1" x14ac:dyDescent="0.25">
      <c r="B769" s="21">
        <v>11</v>
      </c>
      <c r="C769" s="21" t="s">
        <v>74</v>
      </c>
      <c r="D769" s="50">
        <v>0.35</v>
      </c>
      <c r="E769" s="16">
        <v>1.23E-2</v>
      </c>
      <c r="F769" s="16">
        <f>0.35/0.37-1</f>
        <v>-5.4054054054054057E-2</v>
      </c>
      <c r="G769" s="16">
        <f>D769/D788-1</f>
        <v>-0.16666666666666674</v>
      </c>
      <c r="I769" s="21">
        <v>11</v>
      </c>
      <c r="J769" s="21" t="s">
        <v>323</v>
      </c>
      <c r="K769" s="57">
        <v>0.74</v>
      </c>
      <c r="L769" s="65">
        <v>6.1999999999999998E-3</v>
      </c>
      <c r="M769" s="16">
        <f>0.74/0.49-1</f>
        <v>0.51020408163265296</v>
      </c>
      <c r="N769" s="16"/>
      <c r="O769" s="21">
        <v>11</v>
      </c>
      <c r="P769" s="57" t="s">
        <v>485</v>
      </c>
      <c r="Q769" s="59">
        <v>0.14000000000000001</v>
      </c>
      <c r="R769" s="53">
        <v>1.6999999999999999E-3</v>
      </c>
      <c r="T769" s="21">
        <v>11</v>
      </c>
      <c r="U769" s="56" t="s">
        <v>370</v>
      </c>
      <c r="V769" s="21">
        <v>0.2</v>
      </c>
      <c r="W769" s="54">
        <v>5.4000000000000003E-3</v>
      </c>
    </row>
    <row r="770" spans="2:24" ht="14" customHeight="1" x14ac:dyDescent="0.25">
      <c r="B770" s="21">
        <v>12</v>
      </c>
      <c r="C770" s="21" t="s">
        <v>326</v>
      </c>
      <c r="D770" s="50">
        <v>0.12</v>
      </c>
      <c r="E770" s="16">
        <v>4.3E-3</v>
      </c>
      <c r="F770" s="65">
        <f>0.12/0.2-1</f>
        <v>-0.4</v>
      </c>
      <c r="G770" s="16">
        <f>D770/D794-1</f>
        <v>1.4</v>
      </c>
      <c r="I770" s="21">
        <v>12</v>
      </c>
      <c r="J770" s="21" t="s">
        <v>509</v>
      </c>
      <c r="K770" s="57">
        <v>0.54</v>
      </c>
      <c r="L770" s="65">
        <v>4.4999999999999997E-3</v>
      </c>
      <c r="M770" s="16">
        <f>0.54/0.8-1</f>
        <v>-0.32499999999999996</v>
      </c>
      <c r="N770" s="16"/>
      <c r="O770" s="21">
        <v>12</v>
      </c>
      <c r="P770" s="57" t="s">
        <v>408</v>
      </c>
      <c r="Q770" s="59">
        <v>0.13</v>
      </c>
      <c r="R770" s="53">
        <v>1.6999999999999999E-3</v>
      </c>
      <c r="T770" s="21">
        <v>12</v>
      </c>
      <c r="U770" s="56" t="s">
        <v>399</v>
      </c>
      <c r="V770" s="21">
        <v>0.1</v>
      </c>
      <c r="W770" s="54">
        <v>2.5999999999999999E-3</v>
      </c>
    </row>
    <row r="771" spans="2:24" ht="14" customHeight="1" x14ac:dyDescent="0.25">
      <c r="B771" s="21">
        <v>13</v>
      </c>
      <c r="C771" s="21" t="s">
        <v>509</v>
      </c>
      <c r="D771" s="50">
        <v>0.06</v>
      </c>
      <c r="E771" s="16">
        <v>2.2000000000000001E-3</v>
      </c>
      <c r="F771" s="65">
        <f>0.06/0.22-1</f>
        <v>-0.72727272727272729</v>
      </c>
      <c r="G771" s="16">
        <f>D771/D792-1</f>
        <v>-0.53846153846153855</v>
      </c>
      <c r="I771" s="21">
        <v>13</v>
      </c>
      <c r="J771" s="21" t="s">
        <v>326</v>
      </c>
      <c r="K771" s="57">
        <v>0.28999999999999998</v>
      </c>
      <c r="L771" s="65">
        <v>2.5000000000000001E-3</v>
      </c>
      <c r="M771" s="16">
        <f>0.29/0.83-1</f>
        <v>-0.6506024096385542</v>
      </c>
      <c r="N771" s="16"/>
      <c r="O771" s="21">
        <v>13</v>
      </c>
      <c r="P771" s="57" t="s">
        <v>476</v>
      </c>
      <c r="Q771" s="59">
        <v>0.09</v>
      </c>
      <c r="R771" s="53">
        <v>1.1000000000000001E-3</v>
      </c>
      <c r="T771" s="21">
        <v>13</v>
      </c>
      <c r="U771" s="56" t="s">
        <v>504</v>
      </c>
      <c r="V771" s="21">
        <v>0.09</v>
      </c>
      <c r="W771" s="54">
        <v>2.5000000000000001E-3</v>
      </c>
    </row>
    <row r="772" spans="2:24" ht="14" customHeight="1" x14ac:dyDescent="0.25">
      <c r="B772" s="21">
        <v>14</v>
      </c>
      <c r="C772" s="21" t="s">
        <v>342</v>
      </c>
      <c r="D772" s="50">
        <v>0.04</v>
      </c>
      <c r="E772" s="16">
        <v>1.6000000000000001E-3</v>
      </c>
      <c r="F772" s="65"/>
      <c r="G772" s="16"/>
      <c r="I772" s="21">
        <v>14</v>
      </c>
      <c r="J772" s="21" t="s">
        <v>426</v>
      </c>
      <c r="K772" s="57">
        <v>0.17</v>
      </c>
      <c r="L772" s="65">
        <v>1.4E-3</v>
      </c>
      <c r="M772" s="16">
        <f>0.17/0.43-1</f>
        <v>-0.60465116279069764</v>
      </c>
      <c r="N772" s="16"/>
      <c r="O772" s="21">
        <v>14</v>
      </c>
      <c r="P772" s="57" t="s">
        <v>426</v>
      </c>
      <c r="Q772" s="59">
        <v>7.0000000000000007E-2</v>
      </c>
      <c r="R772" s="53">
        <v>8.9999999999999998E-4</v>
      </c>
      <c r="T772" s="21">
        <v>14</v>
      </c>
      <c r="U772" s="56" t="s">
        <v>58</v>
      </c>
      <c r="V772" s="21">
        <v>0.08</v>
      </c>
      <c r="W772" s="54">
        <v>2.2000000000000001E-3</v>
      </c>
    </row>
    <row r="773" spans="2:24" ht="14" customHeight="1" x14ac:dyDescent="0.25">
      <c r="B773" s="21">
        <v>15</v>
      </c>
      <c r="C773" s="21" t="s">
        <v>58</v>
      </c>
      <c r="D773" s="50">
        <v>0.03</v>
      </c>
      <c r="E773" s="16">
        <v>1.1000000000000001E-3</v>
      </c>
      <c r="F773" s="65"/>
      <c r="G773" s="16"/>
      <c r="I773" s="21">
        <v>15</v>
      </c>
      <c r="J773" s="21" t="s">
        <v>408</v>
      </c>
      <c r="K773" s="57">
        <v>0.14000000000000001</v>
      </c>
      <c r="L773" s="65">
        <v>1.1000000000000001E-3</v>
      </c>
      <c r="M773" s="16"/>
      <c r="N773" s="16"/>
      <c r="O773" s="21">
        <v>15</v>
      </c>
      <c r="P773" s="57" t="s">
        <v>471</v>
      </c>
      <c r="Q773" s="59">
        <v>0.05</v>
      </c>
      <c r="R773" s="53">
        <v>5.9999999999999995E-4</v>
      </c>
      <c r="T773" s="21">
        <v>15</v>
      </c>
      <c r="U773" s="56" t="s">
        <v>487</v>
      </c>
      <c r="V773" s="21">
        <v>0.05</v>
      </c>
      <c r="W773" s="54">
        <v>1.4E-3</v>
      </c>
    </row>
    <row r="774" spans="2:24" ht="14" customHeight="1" x14ac:dyDescent="0.25">
      <c r="B774" s="21"/>
      <c r="C774" s="21" t="s">
        <v>77</v>
      </c>
      <c r="D774" s="50">
        <f>D775-SUM(D759:D773)</f>
        <v>0.11999999999999034</v>
      </c>
      <c r="E774" s="16">
        <f>E775-SUM(E759:E773)</f>
        <v>4.3999999999999595E-3</v>
      </c>
      <c r="F774" s="65"/>
      <c r="G774" s="16">
        <f t="shared" si="50"/>
        <v>-1.184607967275042E-13</v>
      </c>
      <c r="I774" s="21"/>
      <c r="J774" s="21" t="s">
        <v>77</v>
      </c>
      <c r="K774" s="50">
        <f>K775-SUM(K759:K773)</f>
        <v>0.84999999999999432</v>
      </c>
      <c r="L774" s="65">
        <f>L775-SUM(L759:L773)</f>
        <v>7.1000000000002172E-3</v>
      </c>
      <c r="P774" s="21" t="s">
        <v>77</v>
      </c>
      <c r="Q774" s="50">
        <f>Q775-SUM(Q759:Q773)</f>
        <v>0.1600000000000108</v>
      </c>
      <c r="R774" s="65">
        <f>R775-SUM(R759:R773)</f>
        <v>1.3999999999999568E-3</v>
      </c>
      <c r="T774" s="56"/>
      <c r="U774" s="21" t="s">
        <v>77</v>
      </c>
      <c r="V774" s="50">
        <f>V775-SUM(V759:V773)</f>
        <v>0.17999999999999261</v>
      </c>
      <c r="W774" s="65">
        <f>W775-SUM(W759:W773)</f>
        <v>4.5000000000001705E-3</v>
      </c>
    </row>
    <row r="775" spans="2:24" ht="14" customHeight="1" x14ac:dyDescent="0.25">
      <c r="B775" s="21"/>
      <c r="C775" s="21" t="s">
        <v>78</v>
      </c>
      <c r="D775" s="50">
        <v>28.24</v>
      </c>
      <c r="E775" s="16">
        <f>D775/D775</f>
        <v>1</v>
      </c>
      <c r="F775" s="65"/>
      <c r="G775" s="16">
        <f t="shared" si="50"/>
        <v>0.12509960159362543</v>
      </c>
      <c r="I775" s="21"/>
      <c r="J775" s="21" t="s">
        <v>78</v>
      </c>
      <c r="K775" s="57">
        <v>119.23</v>
      </c>
      <c r="L775" s="65">
        <v>1</v>
      </c>
      <c r="M775" s="16"/>
      <c r="N775" s="16"/>
      <c r="P775" s="21" t="s">
        <v>78</v>
      </c>
      <c r="Q775" s="57">
        <v>81.2</v>
      </c>
      <c r="R775" s="65">
        <v>1</v>
      </c>
      <c r="S775" s="228"/>
      <c r="U775" s="21" t="s">
        <v>78</v>
      </c>
      <c r="V775" s="57">
        <v>37.909999999999997</v>
      </c>
      <c r="W775" s="65">
        <v>1</v>
      </c>
      <c r="X775" s="228"/>
    </row>
    <row r="776" spans="2:24" ht="14" customHeight="1" x14ac:dyDescent="0.25">
      <c r="D776" s="43"/>
      <c r="J776" s="43"/>
      <c r="O776" s="227"/>
      <c r="X776" s="227"/>
    </row>
    <row r="777" spans="2:24" ht="14" customHeight="1" x14ac:dyDescent="0.25">
      <c r="D777" s="43"/>
      <c r="J777" s="43"/>
      <c r="O777" s="227"/>
      <c r="X777" s="227"/>
    </row>
    <row r="778" spans="2:24" ht="14" customHeight="1" x14ac:dyDescent="0.25">
      <c r="D778" s="43"/>
      <c r="J778" s="43"/>
      <c r="O778" s="227"/>
      <c r="X778" s="227"/>
    </row>
    <row r="779" spans="2:24" ht="14" customHeight="1" x14ac:dyDescent="0.25">
      <c r="B779" s="15" t="s">
        <v>531</v>
      </c>
      <c r="I779" s="15" t="s">
        <v>532</v>
      </c>
      <c r="O779" s="25" t="s">
        <v>533</v>
      </c>
      <c r="T779" s="25" t="s">
        <v>534</v>
      </c>
    </row>
    <row r="780" spans="2:24" ht="14" customHeight="1" x14ac:dyDescent="0.25">
      <c r="B780" s="21" t="s">
        <v>334</v>
      </c>
      <c r="C780" s="21" t="s">
        <v>335</v>
      </c>
      <c r="D780" s="9" t="s">
        <v>436</v>
      </c>
      <c r="E780" s="21" t="s">
        <v>337</v>
      </c>
      <c r="F780" s="21" t="s">
        <v>423</v>
      </c>
      <c r="G780" s="21" t="s">
        <v>424</v>
      </c>
      <c r="I780" s="21" t="s">
        <v>334</v>
      </c>
      <c r="J780" s="21" t="s">
        <v>335</v>
      </c>
      <c r="K780" s="9" t="s">
        <v>437</v>
      </c>
      <c r="L780" s="21" t="s">
        <v>337</v>
      </c>
      <c r="M780" s="21" t="s">
        <v>423</v>
      </c>
      <c r="N780" s="21"/>
      <c r="O780" s="21" t="s">
        <v>334</v>
      </c>
      <c r="P780" s="21" t="s">
        <v>335</v>
      </c>
      <c r="Q780" s="57" t="s">
        <v>438</v>
      </c>
      <c r="R780" s="56" t="s">
        <v>384</v>
      </c>
      <c r="S780" s="21"/>
      <c r="T780" s="21" t="s">
        <v>334</v>
      </c>
      <c r="U780" s="56" t="s">
        <v>381</v>
      </c>
      <c r="V780" s="21" t="s">
        <v>438</v>
      </c>
      <c r="W780" s="57" t="s">
        <v>337</v>
      </c>
      <c r="X780" s="21"/>
    </row>
    <row r="781" spans="2:24" ht="14" customHeight="1" x14ac:dyDescent="0.25">
      <c r="B781" s="21">
        <v>1</v>
      </c>
      <c r="C781" s="21" t="s">
        <v>68</v>
      </c>
      <c r="D781" s="50">
        <v>10.26</v>
      </c>
      <c r="E781" s="16">
        <v>0.4083</v>
      </c>
      <c r="F781" s="16">
        <f>10.26/5.08-1</f>
        <v>1.0196850393700787</v>
      </c>
      <c r="G781" s="16">
        <f>D781/D803-1</f>
        <v>-0.17854283426741391</v>
      </c>
      <c r="I781" s="21">
        <v>1</v>
      </c>
      <c r="J781" s="21" t="s">
        <v>68</v>
      </c>
      <c r="K781" s="57">
        <v>39.51</v>
      </c>
      <c r="L781" s="56">
        <v>0.43430000000000002</v>
      </c>
      <c r="M781" s="16">
        <f>39.51/30.59-1</f>
        <v>0.29159856162144493</v>
      </c>
      <c r="N781" s="16"/>
      <c r="O781" s="21">
        <v>1</v>
      </c>
      <c r="P781" s="57" t="s">
        <v>69</v>
      </c>
      <c r="Q781" s="59">
        <v>27.72</v>
      </c>
      <c r="R781" s="53">
        <v>0.44669999999999999</v>
      </c>
      <c r="T781" s="21">
        <v>1</v>
      </c>
      <c r="U781" s="56" t="s">
        <v>98</v>
      </c>
      <c r="V781" s="21">
        <v>17.45</v>
      </c>
      <c r="W781" s="54">
        <v>0.60409999999999997</v>
      </c>
    </row>
    <row r="782" spans="2:24" ht="14" customHeight="1" x14ac:dyDescent="0.25">
      <c r="B782" s="21">
        <v>2</v>
      </c>
      <c r="C782" s="21" t="s">
        <v>69</v>
      </c>
      <c r="D782" s="50">
        <v>7.32</v>
      </c>
      <c r="E782" s="16">
        <v>0.29110000000000003</v>
      </c>
      <c r="F782" s="16">
        <f>7.32/4.27-1</f>
        <v>0.71428571428571441</v>
      </c>
      <c r="G782" s="16">
        <f t="shared" ref="G782:G797" si="51">D782/D804-1</f>
        <v>-1.0810810810810811E-2</v>
      </c>
      <c r="I782" s="21">
        <v>2</v>
      </c>
      <c r="J782" s="21" t="s">
        <v>69</v>
      </c>
      <c r="K782" s="57">
        <v>27.73</v>
      </c>
      <c r="L782" s="56">
        <v>0.30470000000000003</v>
      </c>
      <c r="M782" s="16">
        <f>27.73/14.68-1</f>
        <v>0.88896457765667591</v>
      </c>
      <c r="N782" s="16"/>
      <c r="O782" s="21">
        <v>2</v>
      </c>
      <c r="P782" s="57" t="s">
        <v>68</v>
      </c>
      <c r="Q782" s="59">
        <v>22.07</v>
      </c>
      <c r="R782" s="53">
        <v>0.35570000000000002</v>
      </c>
      <c r="T782" s="21">
        <v>2</v>
      </c>
      <c r="U782" s="56" t="s">
        <v>100</v>
      </c>
      <c r="V782" s="21">
        <v>4.1100000000000003</v>
      </c>
      <c r="W782" s="54">
        <v>0.1421</v>
      </c>
    </row>
    <row r="783" spans="2:24" ht="14" customHeight="1" x14ac:dyDescent="0.25">
      <c r="B783" s="21">
        <v>3</v>
      </c>
      <c r="C783" s="21" t="s">
        <v>71</v>
      </c>
      <c r="D783" s="50">
        <v>2.2000000000000002</v>
      </c>
      <c r="E783" s="16">
        <v>8.7400000000000005E-2</v>
      </c>
      <c r="F783" s="16">
        <f>2.2/0.9-1</f>
        <v>1.4444444444444446</v>
      </c>
      <c r="G783" s="16">
        <f t="shared" si="51"/>
        <v>-0.23076923076923073</v>
      </c>
      <c r="I783" s="21">
        <v>3</v>
      </c>
      <c r="J783" s="21" t="s">
        <v>71</v>
      </c>
      <c r="K783" s="57">
        <v>7.47</v>
      </c>
      <c r="L783" s="56">
        <v>8.2100000000000006E-2</v>
      </c>
      <c r="M783" s="16">
        <f>7.47/5.09-1</f>
        <v>0.46758349705304525</v>
      </c>
      <c r="N783" s="16"/>
      <c r="O783" s="21">
        <v>3</v>
      </c>
      <c r="P783" s="57" t="s">
        <v>70</v>
      </c>
      <c r="Q783" s="59">
        <v>3.56</v>
      </c>
      <c r="R783" s="53">
        <v>5.74E-2</v>
      </c>
      <c r="T783" s="21">
        <v>3</v>
      </c>
      <c r="U783" s="21" t="s">
        <v>127</v>
      </c>
      <c r="V783" s="21">
        <v>1.73</v>
      </c>
      <c r="W783" s="54">
        <v>5.9799999999999999E-2</v>
      </c>
    </row>
    <row r="784" spans="2:24" ht="14" customHeight="1" x14ac:dyDescent="0.25">
      <c r="B784" s="21">
        <v>4</v>
      </c>
      <c r="C784" s="21" t="s">
        <v>73</v>
      </c>
      <c r="D784" s="50">
        <v>1.38</v>
      </c>
      <c r="E784" s="16">
        <v>5.4800000000000001E-2</v>
      </c>
      <c r="F784" s="16">
        <f>1.38/0.29-1</f>
        <v>3.7586206896551726</v>
      </c>
      <c r="G784" s="16">
        <f>D784/D807-1</f>
        <v>0.28971962616822422</v>
      </c>
      <c r="I784" s="21">
        <v>4</v>
      </c>
      <c r="J784" s="21" t="s">
        <v>70</v>
      </c>
      <c r="K784" s="57">
        <v>3.83</v>
      </c>
      <c r="L784" s="56">
        <v>4.2099999999999999E-2</v>
      </c>
      <c r="M784" s="16">
        <f>3.83/3.27-1</f>
        <v>0.17125382262996935</v>
      </c>
      <c r="N784" s="16"/>
      <c r="O784" s="21">
        <v>4</v>
      </c>
      <c r="P784" s="57" t="s">
        <v>71</v>
      </c>
      <c r="Q784" s="59">
        <v>3.36</v>
      </c>
      <c r="R784" s="53">
        <v>5.4199999999999998E-2</v>
      </c>
      <c r="T784" s="21">
        <v>4</v>
      </c>
      <c r="U784" s="56" t="s">
        <v>181</v>
      </c>
      <c r="V784" s="21">
        <v>1.61</v>
      </c>
      <c r="W784" s="54">
        <v>5.5599999999999997E-2</v>
      </c>
    </row>
    <row r="785" spans="2:24" ht="14" customHeight="1" x14ac:dyDescent="0.25">
      <c r="B785" s="21">
        <v>5</v>
      </c>
      <c r="C785" s="21" t="s">
        <v>70</v>
      </c>
      <c r="D785" s="50">
        <v>1.18</v>
      </c>
      <c r="E785" s="16">
        <v>4.6800000000000001E-2</v>
      </c>
      <c r="F785" s="16">
        <f>1.18/0.7-1</f>
        <v>0.68571428571428572</v>
      </c>
      <c r="G785" s="16">
        <f>D785/D806-1</f>
        <v>-5.600000000000005E-2</v>
      </c>
      <c r="I785" s="21">
        <v>5</v>
      </c>
      <c r="J785" s="21" t="s">
        <v>73</v>
      </c>
      <c r="K785" s="57">
        <v>3.8</v>
      </c>
      <c r="L785" s="56">
        <v>4.1700000000000001E-2</v>
      </c>
      <c r="M785" s="16">
        <f>3.8/1.38-1</f>
        <v>1.7536231884057973</v>
      </c>
      <c r="N785" s="16"/>
      <c r="O785" s="21">
        <v>5</v>
      </c>
      <c r="P785" s="57" t="s">
        <v>73</v>
      </c>
      <c r="Q785" s="59">
        <v>2.86</v>
      </c>
      <c r="R785" s="53">
        <v>4.6100000000000002E-2</v>
      </c>
      <c r="T785" s="21">
        <v>5</v>
      </c>
      <c r="U785" s="56" t="s">
        <v>185</v>
      </c>
      <c r="V785" s="21">
        <v>1.08</v>
      </c>
      <c r="W785" s="54">
        <v>3.7400000000000003E-2</v>
      </c>
    </row>
    <row r="786" spans="2:24" ht="14" customHeight="1" x14ac:dyDescent="0.25">
      <c r="B786" s="21">
        <v>6</v>
      </c>
      <c r="C786" s="21" t="s">
        <v>129</v>
      </c>
      <c r="D786" s="50">
        <v>0.91</v>
      </c>
      <c r="E786" s="16">
        <v>3.6200000000000003E-2</v>
      </c>
      <c r="F786" s="16">
        <f>0.91/0.51-1</f>
        <v>0.78431372549019618</v>
      </c>
      <c r="G786" s="16">
        <f>D786/D809-1</f>
        <v>0.59649122807017574</v>
      </c>
      <c r="I786" s="21">
        <v>6</v>
      </c>
      <c r="J786" s="21" t="s">
        <v>129</v>
      </c>
      <c r="K786" s="57">
        <v>2.31</v>
      </c>
      <c r="L786" s="56">
        <v>2.53E-2</v>
      </c>
      <c r="M786" s="16">
        <f>2.31/1.32-1</f>
        <v>0.75</v>
      </c>
      <c r="N786" s="16"/>
      <c r="O786" s="21">
        <v>6</v>
      </c>
      <c r="P786" s="57" t="s">
        <v>129</v>
      </c>
      <c r="Q786" s="59">
        <v>0.7</v>
      </c>
      <c r="R786" s="53">
        <v>1.1299999999999999E-2</v>
      </c>
      <c r="T786" s="21">
        <v>6</v>
      </c>
      <c r="U786" s="56" t="s">
        <v>103</v>
      </c>
      <c r="V786" s="21">
        <v>0.94</v>
      </c>
      <c r="W786" s="54">
        <v>3.2500000000000001E-2</v>
      </c>
    </row>
    <row r="787" spans="2:24" ht="14" customHeight="1" x14ac:dyDescent="0.25">
      <c r="B787" s="21">
        <v>7</v>
      </c>
      <c r="C787" s="21" t="s">
        <v>127</v>
      </c>
      <c r="D787" s="50">
        <v>0.44</v>
      </c>
      <c r="E787" s="16">
        <v>1.7299999999999999E-2</v>
      </c>
      <c r="F787" s="16">
        <f>0.44/0.07-1</f>
        <v>5.2857142857142856</v>
      </c>
      <c r="G787" s="16">
        <f>D787/D808-1</f>
        <v>-0.26666666666666661</v>
      </c>
      <c r="I787" s="21">
        <v>7</v>
      </c>
      <c r="J787" s="21" t="s">
        <v>127</v>
      </c>
      <c r="K787" s="57">
        <v>1.73</v>
      </c>
      <c r="L787" s="56">
        <v>1.9E-2</v>
      </c>
      <c r="M787" s="16">
        <f>1.73/1.33-1</f>
        <v>0.3007518796992481</v>
      </c>
      <c r="N787" s="16"/>
      <c r="O787" s="21">
        <v>7</v>
      </c>
      <c r="P787" s="57" t="s">
        <v>74</v>
      </c>
      <c r="Q787" s="59">
        <v>0.63</v>
      </c>
      <c r="R787" s="53">
        <v>1.01E-2</v>
      </c>
      <c r="T787" s="21">
        <v>7</v>
      </c>
      <c r="U787" s="56" t="s">
        <v>104</v>
      </c>
      <c r="V787" s="21">
        <v>0.56999999999999995</v>
      </c>
      <c r="W787" s="54">
        <v>1.9599999999999999E-2</v>
      </c>
    </row>
    <row r="788" spans="2:24" ht="14" customHeight="1" x14ac:dyDescent="0.25">
      <c r="B788" s="21">
        <v>8</v>
      </c>
      <c r="C788" s="21" t="s">
        <v>74</v>
      </c>
      <c r="D788" s="50">
        <v>0.42</v>
      </c>
      <c r="E788" s="16">
        <v>1.66E-2</v>
      </c>
      <c r="F788" s="16">
        <f>0.42/0.36-1</f>
        <v>0.16666666666666674</v>
      </c>
      <c r="G788" s="16">
        <f>D788/D811-1</f>
        <v>-2.3255813953488413E-2</v>
      </c>
      <c r="I788" s="21">
        <v>8</v>
      </c>
      <c r="J788" s="21" t="s">
        <v>74</v>
      </c>
      <c r="K788" s="57">
        <v>1.2</v>
      </c>
      <c r="L788" s="56" t="s">
        <v>59</v>
      </c>
      <c r="M788" s="16">
        <f>1.2/1.64-1</f>
        <v>-0.26829268292682928</v>
      </c>
      <c r="N788" s="16"/>
      <c r="O788" s="21">
        <v>8</v>
      </c>
      <c r="P788" s="57" t="s">
        <v>322</v>
      </c>
      <c r="Q788" s="59">
        <v>0.28000000000000003</v>
      </c>
      <c r="R788" s="53">
        <v>4.4999999999999997E-3</v>
      </c>
      <c r="T788" s="21">
        <v>8</v>
      </c>
      <c r="U788" s="56" t="s">
        <v>392</v>
      </c>
      <c r="V788" s="21">
        <v>0.46</v>
      </c>
      <c r="W788" s="54">
        <v>1.5900000000000001E-2</v>
      </c>
    </row>
    <row r="789" spans="2:24" ht="14" customHeight="1" x14ac:dyDescent="0.25">
      <c r="B789" s="21">
        <v>9</v>
      </c>
      <c r="C789" s="15" t="s">
        <v>185</v>
      </c>
      <c r="D789" s="50">
        <v>0.28999999999999998</v>
      </c>
      <c r="E789" s="16">
        <v>1.17E-2</v>
      </c>
      <c r="F789" s="16">
        <f>0.29/0.26-1</f>
        <v>0.1153846153846152</v>
      </c>
      <c r="G789" s="16">
        <f>D789/D810-1</f>
        <v>-0.34090909090909094</v>
      </c>
      <c r="I789" s="21">
        <v>9</v>
      </c>
      <c r="J789" s="15" t="s">
        <v>185</v>
      </c>
      <c r="K789" s="57">
        <v>1.08</v>
      </c>
      <c r="L789" s="56">
        <v>1.1900000000000001E-2</v>
      </c>
      <c r="M789" s="16">
        <f>1.08/1.2-1</f>
        <v>-9.9999999999999867E-2</v>
      </c>
      <c r="N789" s="16"/>
      <c r="O789" s="21">
        <v>9</v>
      </c>
      <c r="P789" s="57" t="s">
        <v>323</v>
      </c>
      <c r="Q789" s="59">
        <v>0.22</v>
      </c>
      <c r="R789" s="53">
        <v>3.5000000000000001E-3</v>
      </c>
      <c r="T789" s="21">
        <v>9</v>
      </c>
      <c r="U789" s="56" t="s">
        <v>101</v>
      </c>
      <c r="V789" s="21">
        <v>0.27</v>
      </c>
      <c r="W789" s="54">
        <v>9.2999999999999992E-3</v>
      </c>
    </row>
    <row r="790" spans="2:24" ht="14" customHeight="1" x14ac:dyDescent="0.25">
      <c r="B790" s="21">
        <v>10</v>
      </c>
      <c r="C790" s="21" t="s">
        <v>322</v>
      </c>
      <c r="D790" s="50">
        <v>0.16</v>
      </c>
      <c r="E790" s="16">
        <v>6.4999999999999997E-3</v>
      </c>
      <c r="F790" s="16">
        <f>0.16/0.23-1</f>
        <v>-0.30434782608695654</v>
      </c>
      <c r="G790" s="16">
        <f>D790/D813-1</f>
        <v>6.6666666666666652E-2</v>
      </c>
      <c r="I790" s="21">
        <v>10</v>
      </c>
      <c r="J790" s="21" t="s">
        <v>509</v>
      </c>
      <c r="K790" s="57">
        <v>0.48</v>
      </c>
      <c r="L790" s="56">
        <v>5.3E-3</v>
      </c>
      <c r="M790" s="16">
        <f>0.48/0.58-1</f>
        <v>-0.17241379310344829</v>
      </c>
      <c r="N790" s="16"/>
      <c r="O790" s="21">
        <v>10</v>
      </c>
      <c r="P790" s="57" t="s">
        <v>326</v>
      </c>
      <c r="Q790" s="59">
        <v>0.14000000000000001</v>
      </c>
      <c r="R790" s="53">
        <v>2.3E-3</v>
      </c>
      <c r="T790" s="21">
        <v>10</v>
      </c>
      <c r="U790" s="56" t="s">
        <v>369</v>
      </c>
      <c r="V790" s="21">
        <v>0.14000000000000001</v>
      </c>
      <c r="W790" s="54">
        <v>4.8999999999999998E-3</v>
      </c>
    </row>
    <row r="791" spans="2:24" ht="14" customHeight="1" x14ac:dyDescent="0.25">
      <c r="B791" s="21">
        <v>11</v>
      </c>
      <c r="C791" s="21" t="s">
        <v>323</v>
      </c>
      <c r="D791" s="50">
        <v>0.15</v>
      </c>
      <c r="E791" s="16">
        <v>6.1000000000000004E-3</v>
      </c>
      <c r="F791" s="65"/>
      <c r="G791" s="16"/>
      <c r="I791" s="21">
        <v>11</v>
      </c>
      <c r="J791" s="21" t="s">
        <v>322</v>
      </c>
      <c r="K791" s="57">
        <v>0.42</v>
      </c>
      <c r="L791" s="65">
        <v>4.5999999999999999E-3</v>
      </c>
      <c r="M791" s="16">
        <f>0.42/0.64-1</f>
        <v>-0.34375</v>
      </c>
      <c r="N791" s="16"/>
      <c r="O791" s="21">
        <v>11</v>
      </c>
      <c r="P791" s="57" t="s">
        <v>485</v>
      </c>
      <c r="Q791" s="59">
        <v>0.12</v>
      </c>
      <c r="R791" s="53">
        <v>1.9E-3</v>
      </c>
      <c r="T791" s="21">
        <v>11</v>
      </c>
      <c r="U791" s="56" t="s">
        <v>370</v>
      </c>
      <c r="V791" s="21">
        <v>0.1</v>
      </c>
      <c r="W791" s="54">
        <v>3.5000000000000001E-3</v>
      </c>
    </row>
    <row r="792" spans="2:24" ht="14" customHeight="1" x14ac:dyDescent="0.25">
      <c r="B792" s="21">
        <v>12</v>
      </c>
      <c r="C792" s="21" t="s">
        <v>509</v>
      </c>
      <c r="D792" s="50">
        <v>0.13</v>
      </c>
      <c r="E792" s="16">
        <v>5.1000000000000004E-3</v>
      </c>
      <c r="F792" s="65">
        <f>0.13/0.05-1</f>
        <v>1.6</v>
      </c>
      <c r="G792" s="16">
        <f>D792/D812-1</f>
        <v>-0.35</v>
      </c>
      <c r="I792" s="21">
        <v>12</v>
      </c>
      <c r="J792" s="21" t="s">
        <v>323</v>
      </c>
      <c r="K792" s="57">
        <v>0.32</v>
      </c>
      <c r="L792" s="65">
        <v>3.5000000000000001E-3</v>
      </c>
      <c r="M792" s="16">
        <f>0.32/0.3-1</f>
        <v>6.6666666666666652E-2</v>
      </c>
      <c r="N792" s="16"/>
      <c r="O792" s="21">
        <v>12</v>
      </c>
      <c r="P792" s="57" t="s">
        <v>408</v>
      </c>
      <c r="Q792" s="59">
        <v>0.12</v>
      </c>
      <c r="R792" s="53">
        <v>1.9E-3</v>
      </c>
      <c r="T792" s="21">
        <v>12</v>
      </c>
      <c r="U792" s="56" t="s">
        <v>399</v>
      </c>
      <c r="V792" s="21">
        <v>0.1</v>
      </c>
      <c r="W792" s="54">
        <v>3.3999999999999998E-3</v>
      </c>
    </row>
    <row r="793" spans="2:24" ht="14" customHeight="1" x14ac:dyDescent="0.25">
      <c r="B793" s="21">
        <v>13</v>
      </c>
      <c r="C793" s="21" t="s">
        <v>408</v>
      </c>
      <c r="D793" s="50">
        <v>0.06</v>
      </c>
      <c r="E793" s="16">
        <v>2.5000000000000001E-3</v>
      </c>
      <c r="F793" s="65"/>
      <c r="G793" s="16"/>
      <c r="I793" s="21">
        <v>13</v>
      </c>
      <c r="J793" s="21" t="s">
        <v>326</v>
      </c>
      <c r="K793" s="57">
        <v>0.17</v>
      </c>
      <c r="L793" s="65">
        <v>1.9E-3</v>
      </c>
      <c r="M793" s="16">
        <f>0.17/0.63-1</f>
        <v>-0.73015873015873012</v>
      </c>
      <c r="N793" s="16"/>
      <c r="O793" s="21">
        <v>13</v>
      </c>
      <c r="P793" s="57" t="s">
        <v>476</v>
      </c>
      <c r="Q793" s="59">
        <v>7.0000000000000007E-2</v>
      </c>
      <c r="R793" s="53">
        <v>1.1999999999999999E-3</v>
      </c>
      <c r="T793" s="21">
        <v>13</v>
      </c>
      <c r="U793" s="56" t="s">
        <v>504</v>
      </c>
      <c r="V793" s="21">
        <v>0.09</v>
      </c>
      <c r="W793" s="54">
        <v>3.2000000000000002E-3</v>
      </c>
    </row>
    <row r="794" spans="2:24" ht="14" customHeight="1" x14ac:dyDescent="0.25">
      <c r="B794" s="21">
        <v>14</v>
      </c>
      <c r="C794" s="21" t="s">
        <v>326</v>
      </c>
      <c r="D794" s="50">
        <v>0.05</v>
      </c>
      <c r="E794" s="16">
        <v>1.8E-3</v>
      </c>
      <c r="F794" s="65">
        <f>0.05/0.14-1</f>
        <v>-0.64285714285714279</v>
      </c>
      <c r="G794" s="16">
        <f>D794/D817-1</f>
        <v>0.66666666666666674</v>
      </c>
      <c r="I794" s="21">
        <v>14</v>
      </c>
      <c r="J794" s="21" t="s">
        <v>426</v>
      </c>
      <c r="K794" s="57">
        <v>0.16</v>
      </c>
      <c r="L794" s="65">
        <v>1.8E-3</v>
      </c>
      <c r="M794" s="16">
        <f>0.16/0.3-1</f>
        <v>-0.46666666666666667</v>
      </c>
      <c r="N794" s="16"/>
      <c r="O794" s="21">
        <v>14</v>
      </c>
      <c r="P794" s="57" t="s">
        <v>426</v>
      </c>
      <c r="Q794" s="59">
        <v>0.06</v>
      </c>
      <c r="R794" s="53">
        <v>1E-3</v>
      </c>
      <c r="T794" s="21">
        <v>14</v>
      </c>
      <c r="U794" s="56" t="s">
        <v>58</v>
      </c>
      <c r="V794" s="21">
        <v>0.05</v>
      </c>
      <c r="W794" s="54">
        <v>1.8E-3</v>
      </c>
    </row>
    <row r="795" spans="2:24" ht="14" customHeight="1" x14ac:dyDescent="0.25">
      <c r="B795" s="21">
        <v>15</v>
      </c>
      <c r="C795" s="21" t="s">
        <v>426</v>
      </c>
      <c r="D795" s="50">
        <v>0.03</v>
      </c>
      <c r="E795" s="16">
        <v>1.2999999999999999E-3</v>
      </c>
      <c r="F795" s="65">
        <f>0.03/0.05-1</f>
        <v>-0.4</v>
      </c>
      <c r="G795" s="16"/>
      <c r="I795" s="21">
        <v>15</v>
      </c>
      <c r="J795" s="21" t="s">
        <v>485</v>
      </c>
      <c r="K795" s="57">
        <v>0.12</v>
      </c>
      <c r="L795" s="65">
        <v>1.2999999999999999E-3</v>
      </c>
      <c r="M795" s="16">
        <f>0.12/0.39-1</f>
        <v>-0.69230769230769229</v>
      </c>
      <c r="N795" s="16"/>
      <c r="O795" s="21">
        <v>15</v>
      </c>
      <c r="P795" s="57" t="s">
        <v>471</v>
      </c>
      <c r="Q795" s="59">
        <v>0.05</v>
      </c>
      <c r="R795" s="53">
        <v>8.0000000000000004E-4</v>
      </c>
      <c r="T795" s="21">
        <v>15</v>
      </c>
      <c r="U795" s="56" t="s">
        <v>487</v>
      </c>
      <c r="V795" s="21">
        <v>0.05</v>
      </c>
      <c r="W795" s="54">
        <v>1.6999999999999999E-3</v>
      </c>
    </row>
    <row r="796" spans="2:24" ht="14" customHeight="1" x14ac:dyDescent="0.25">
      <c r="B796" s="21"/>
      <c r="C796" s="21" t="s">
        <v>77</v>
      </c>
      <c r="D796" s="50">
        <f>D797-SUM(D781:D795)</f>
        <v>0.12000000000000455</v>
      </c>
      <c r="E796" s="16">
        <f>D796/$D$797</f>
        <v>4.7808764940240854E-3</v>
      </c>
      <c r="F796" s="65"/>
      <c r="G796" s="16">
        <f>D796/D818-1</f>
        <v>-0.36842105263155922</v>
      </c>
      <c r="I796" s="21"/>
      <c r="J796" s="21" t="s">
        <v>77</v>
      </c>
      <c r="K796" s="50">
        <f>K797-SUM(K781:K795)</f>
        <v>0.67000000000000171</v>
      </c>
      <c r="L796" s="65">
        <f>K796/91</f>
        <v>7.3626373626373811E-3</v>
      </c>
      <c r="P796" s="21" t="s">
        <v>77</v>
      </c>
      <c r="Q796" s="50">
        <f>Q797-SUM(Q781:Q795)</f>
        <v>3.9999999999999147E-2</v>
      </c>
      <c r="R796" s="65">
        <f>Q796/62</f>
        <v>6.4516129032256688E-4</v>
      </c>
      <c r="T796" s="56"/>
      <c r="U796" s="21" t="s">
        <v>77</v>
      </c>
      <c r="V796" s="50">
        <f>V797-SUM(V781:V795)</f>
        <v>0.14999999999999503</v>
      </c>
      <c r="W796" s="65">
        <f>V796/28.9</f>
        <v>5.1903114186849491E-3</v>
      </c>
    </row>
    <row r="797" spans="2:24" ht="14" customHeight="1" x14ac:dyDescent="0.25">
      <c r="B797" s="21"/>
      <c r="C797" s="21" t="s">
        <v>78</v>
      </c>
      <c r="D797" s="50">
        <v>25.1</v>
      </c>
      <c r="E797" s="16">
        <f>D797/$D$797</f>
        <v>1</v>
      </c>
      <c r="F797" s="65"/>
      <c r="G797" s="16">
        <f t="shared" si="51"/>
        <v>-9.7122302158273333E-2</v>
      </c>
      <c r="I797" s="21"/>
      <c r="J797" s="21" t="s">
        <v>78</v>
      </c>
      <c r="K797" s="57">
        <v>91</v>
      </c>
      <c r="L797" s="65">
        <v>1</v>
      </c>
      <c r="M797" s="16"/>
      <c r="N797" s="16"/>
      <c r="P797" s="21" t="s">
        <v>78</v>
      </c>
      <c r="Q797" s="57">
        <v>62</v>
      </c>
      <c r="R797" s="65">
        <v>1</v>
      </c>
      <c r="S797" s="228"/>
      <c r="U797" s="21" t="s">
        <v>78</v>
      </c>
      <c r="V797" s="57">
        <v>28.9</v>
      </c>
      <c r="W797" s="65">
        <v>1</v>
      </c>
      <c r="X797" s="228"/>
    </row>
    <row r="801" spans="2:24" ht="14" customHeight="1" x14ac:dyDescent="0.25">
      <c r="B801" s="15" t="s">
        <v>535</v>
      </c>
      <c r="I801" s="15" t="s">
        <v>536</v>
      </c>
      <c r="O801" s="25" t="s">
        <v>537</v>
      </c>
      <c r="T801" s="25" t="s">
        <v>538</v>
      </c>
    </row>
    <row r="802" spans="2:24" ht="14" customHeight="1" x14ac:dyDescent="0.25">
      <c r="B802" s="21" t="s">
        <v>334</v>
      </c>
      <c r="C802" s="21" t="s">
        <v>335</v>
      </c>
      <c r="D802" s="9" t="s">
        <v>436</v>
      </c>
      <c r="E802" s="21" t="s">
        <v>337</v>
      </c>
      <c r="F802" s="21" t="s">
        <v>423</v>
      </c>
      <c r="G802" s="21" t="s">
        <v>424</v>
      </c>
      <c r="I802" s="21" t="s">
        <v>334</v>
      </c>
      <c r="J802" s="21" t="s">
        <v>335</v>
      </c>
      <c r="K802" s="9" t="s">
        <v>437</v>
      </c>
      <c r="L802" s="21" t="s">
        <v>337</v>
      </c>
      <c r="M802" s="21" t="s">
        <v>423</v>
      </c>
      <c r="N802" s="21"/>
      <c r="O802" s="21" t="s">
        <v>334</v>
      </c>
      <c r="P802" s="21" t="s">
        <v>335</v>
      </c>
      <c r="Q802" s="57" t="s">
        <v>438</v>
      </c>
      <c r="R802" s="56" t="s">
        <v>384</v>
      </c>
      <c r="S802" s="21"/>
      <c r="T802" s="21" t="s">
        <v>334</v>
      </c>
      <c r="U802" s="56" t="s">
        <v>381</v>
      </c>
      <c r="V802" s="21" t="s">
        <v>438</v>
      </c>
      <c r="W802" s="57" t="s">
        <v>337</v>
      </c>
      <c r="X802" s="21"/>
    </row>
    <row r="803" spans="2:24" ht="14" customHeight="1" x14ac:dyDescent="0.25">
      <c r="B803" s="21">
        <v>1</v>
      </c>
      <c r="C803" s="21" t="s">
        <v>68</v>
      </c>
      <c r="D803" s="50">
        <v>12.49</v>
      </c>
      <c r="E803" s="16">
        <v>0.44950000000000001</v>
      </c>
      <c r="F803" s="16">
        <v>0.155</v>
      </c>
      <c r="G803" s="16">
        <v>0.30099999999999999</v>
      </c>
      <c r="I803" s="21">
        <v>1</v>
      </c>
      <c r="J803" s="21" t="s">
        <v>68</v>
      </c>
      <c r="K803" s="57">
        <v>29.25</v>
      </c>
      <c r="L803" s="56">
        <v>0.44419999999999998</v>
      </c>
      <c r="M803" s="16">
        <v>0.14699999999999999</v>
      </c>
      <c r="N803" s="16"/>
      <c r="O803" s="21">
        <v>1</v>
      </c>
      <c r="P803" s="57" t="s">
        <v>69</v>
      </c>
      <c r="Q803" s="59">
        <v>20.41</v>
      </c>
      <c r="R803" s="53">
        <v>0.45429999999999998</v>
      </c>
      <c r="T803" s="21">
        <v>1</v>
      </c>
      <c r="U803" s="56" t="s">
        <v>98</v>
      </c>
      <c r="V803" s="21">
        <v>12.95</v>
      </c>
      <c r="W803" s="54">
        <v>0.62019999999999997</v>
      </c>
    </row>
    <row r="804" spans="2:24" ht="14" customHeight="1" x14ac:dyDescent="0.25">
      <c r="B804" s="21">
        <v>2</v>
      </c>
      <c r="C804" s="21" t="s">
        <v>69</v>
      </c>
      <c r="D804" s="50">
        <v>7.4</v>
      </c>
      <c r="E804" s="16">
        <v>0.26650000000000001</v>
      </c>
      <c r="F804" s="16">
        <v>0.79600000000000004</v>
      </c>
      <c r="G804" s="16">
        <v>-1.2999999999999999E-2</v>
      </c>
      <c r="I804" s="21">
        <v>2</v>
      </c>
      <c r="J804" s="21" t="s">
        <v>69</v>
      </c>
      <c r="K804" s="57">
        <v>20.41</v>
      </c>
      <c r="L804" s="56">
        <v>0.30990000000000001</v>
      </c>
      <c r="M804" s="16">
        <v>0.96099999999999997</v>
      </c>
      <c r="N804" s="16"/>
      <c r="O804" s="21">
        <v>2</v>
      </c>
      <c r="P804" s="57" t="s">
        <v>68</v>
      </c>
      <c r="Q804" s="59">
        <v>16.3</v>
      </c>
      <c r="R804" s="53">
        <v>0.36299999999999999</v>
      </c>
      <c r="T804" s="21">
        <v>2</v>
      </c>
      <c r="U804" s="56" t="s">
        <v>100</v>
      </c>
      <c r="V804" s="21">
        <v>2.72</v>
      </c>
      <c r="W804" s="54">
        <v>0.1303</v>
      </c>
    </row>
    <row r="805" spans="2:24" ht="14" customHeight="1" x14ac:dyDescent="0.25">
      <c r="B805" s="21">
        <v>3</v>
      </c>
      <c r="C805" s="21" t="s">
        <v>71</v>
      </c>
      <c r="D805" s="50">
        <v>2.86</v>
      </c>
      <c r="E805" s="16">
        <v>0.1028</v>
      </c>
      <c r="F805" s="16">
        <v>0.55400000000000005</v>
      </c>
      <c r="G805" s="16">
        <v>0.76500000000000001</v>
      </c>
      <c r="I805" s="21">
        <v>3</v>
      </c>
      <c r="J805" s="21" t="s">
        <v>71</v>
      </c>
      <c r="K805" s="57">
        <v>5.27</v>
      </c>
      <c r="L805" s="56">
        <v>8.0100000000000005E-2</v>
      </c>
      <c r="M805" s="16">
        <v>0.25800000000000001</v>
      </c>
      <c r="N805" s="16"/>
      <c r="O805" s="21">
        <v>3</v>
      </c>
      <c r="P805" s="57" t="s">
        <v>71</v>
      </c>
      <c r="Q805" s="59">
        <v>2.5499999999999998</v>
      </c>
      <c r="R805" s="53">
        <v>5.6800000000000003E-2</v>
      </c>
      <c r="T805" s="21">
        <v>3</v>
      </c>
      <c r="U805" s="21" t="s">
        <v>127</v>
      </c>
      <c r="V805" s="21">
        <v>1.29</v>
      </c>
      <c r="W805" s="54">
        <v>6.1899999999999997E-2</v>
      </c>
    </row>
    <row r="806" spans="2:24" ht="14" customHeight="1" x14ac:dyDescent="0.25">
      <c r="B806" s="21">
        <v>4</v>
      </c>
      <c r="C806" s="21" t="s">
        <v>70</v>
      </c>
      <c r="D806" s="50">
        <v>1.25</v>
      </c>
      <c r="E806" s="16">
        <v>4.5100000000000001E-2</v>
      </c>
      <c r="F806" s="16">
        <v>0.34399999999999997</v>
      </c>
      <c r="G806" s="16">
        <v>0.60299999999999998</v>
      </c>
      <c r="I806" s="21">
        <v>4</v>
      </c>
      <c r="J806" s="21" t="s">
        <v>70</v>
      </c>
      <c r="K806" s="57">
        <v>2.65</v>
      </c>
      <c r="L806" s="56">
        <v>4.0300000000000002E-2</v>
      </c>
      <c r="M806" s="16">
        <v>3.1E-2</v>
      </c>
      <c r="N806" s="16"/>
      <c r="O806" s="21">
        <v>4</v>
      </c>
      <c r="P806" s="57" t="s">
        <v>70</v>
      </c>
      <c r="Q806" s="59">
        <v>2.5</v>
      </c>
      <c r="R806" s="53">
        <v>5.57E-2</v>
      </c>
      <c r="T806" s="21">
        <v>4</v>
      </c>
      <c r="U806" s="56" t="s">
        <v>181</v>
      </c>
      <c r="V806" s="21">
        <v>1.1200000000000001</v>
      </c>
      <c r="W806" s="54">
        <v>5.3699999999999998E-2</v>
      </c>
    </row>
    <row r="807" spans="2:24" ht="14" customHeight="1" x14ac:dyDescent="0.25">
      <c r="B807" s="21">
        <v>5</v>
      </c>
      <c r="C807" s="21" t="s">
        <v>73</v>
      </c>
      <c r="D807" s="50">
        <v>1.07</v>
      </c>
      <c r="E807" s="16">
        <v>3.8600000000000002E-2</v>
      </c>
      <c r="F807" s="16">
        <v>1.2769999999999999</v>
      </c>
      <c r="G807" s="16">
        <v>0.50700000000000001</v>
      </c>
      <c r="I807" s="21">
        <v>5</v>
      </c>
      <c r="J807" s="21" t="s">
        <v>73</v>
      </c>
      <c r="K807" s="57">
        <v>2.42</v>
      </c>
      <c r="L807" s="56">
        <v>3.6799999999999999E-2</v>
      </c>
      <c r="M807" s="16">
        <v>1.22</v>
      </c>
      <c r="N807" s="16"/>
      <c r="O807" s="21">
        <v>5</v>
      </c>
      <c r="P807" s="57" t="s">
        <v>73</v>
      </c>
      <c r="Q807" s="59">
        <v>1.66</v>
      </c>
      <c r="R807" s="53">
        <v>3.6900000000000002E-2</v>
      </c>
      <c r="T807" s="21">
        <v>5</v>
      </c>
      <c r="U807" s="56" t="s">
        <v>185</v>
      </c>
      <c r="V807" s="21">
        <v>0.79</v>
      </c>
      <c r="W807" s="54">
        <v>3.7600000000000001E-2</v>
      </c>
    </row>
    <row r="808" spans="2:24" ht="14" customHeight="1" x14ac:dyDescent="0.25">
      <c r="B808" s="21">
        <v>6</v>
      </c>
      <c r="C808" s="21" t="s">
        <v>127</v>
      </c>
      <c r="D808" s="50">
        <v>0.6</v>
      </c>
      <c r="E808" s="16">
        <v>2.1600000000000001E-2</v>
      </c>
      <c r="F808" s="16">
        <v>-0.24099999999999999</v>
      </c>
      <c r="G808" s="16">
        <v>0.2</v>
      </c>
      <c r="I808" s="21">
        <v>6</v>
      </c>
      <c r="J808" s="21" t="s">
        <v>129</v>
      </c>
      <c r="K808" s="57">
        <v>1.4</v>
      </c>
      <c r="L808" s="56">
        <v>2.12E-2</v>
      </c>
      <c r="M808" s="16">
        <v>0.72799999999999998</v>
      </c>
      <c r="N808" s="16"/>
      <c r="O808" s="21">
        <v>6</v>
      </c>
      <c r="P808" s="57" t="s">
        <v>74</v>
      </c>
      <c r="Q808" s="59">
        <v>0.49</v>
      </c>
      <c r="R808" s="53">
        <v>1.0800000000000001E-2</v>
      </c>
      <c r="T808" s="21">
        <v>6</v>
      </c>
      <c r="U808" s="56" t="s">
        <v>103</v>
      </c>
      <c r="V808" s="21">
        <v>0.76</v>
      </c>
      <c r="W808" s="54">
        <v>3.6499999999999998E-2</v>
      </c>
    </row>
    <row r="809" spans="2:24" ht="14" customHeight="1" x14ac:dyDescent="0.25">
      <c r="B809" s="21">
        <v>7</v>
      </c>
      <c r="C809" s="21" t="s">
        <v>129</v>
      </c>
      <c r="D809" s="50">
        <v>0.56999999999999995</v>
      </c>
      <c r="E809" s="16">
        <v>2.0500000000000001E-2</v>
      </c>
      <c r="F809" s="16">
        <v>0.629</v>
      </c>
      <c r="G809" s="16">
        <v>0.46200000000000002</v>
      </c>
      <c r="I809" s="21">
        <v>7</v>
      </c>
      <c r="J809" s="21" t="s">
        <v>127</v>
      </c>
      <c r="K809" s="57">
        <v>1.29</v>
      </c>
      <c r="L809" s="56">
        <v>1.9599999999999999E-2</v>
      </c>
      <c r="M809" s="16">
        <v>2.4E-2</v>
      </c>
      <c r="N809" s="16"/>
      <c r="O809" s="21">
        <v>7</v>
      </c>
      <c r="P809" s="57" t="s">
        <v>129</v>
      </c>
      <c r="Q809" s="59">
        <v>0.27</v>
      </c>
      <c r="R809" s="53">
        <v>6.1000000000000004E-3</v>
      </c>
      <c r="T809" s="21">
        <v>7</v>
      </c>
      <c r="U809" s="56" t="s">
        <v>392</v>
      </c>
      <c r="V809" s="21">
        <v>0.33</v>
      </c>
      <c r="W809" s="54">
        <v>1.6E-2</v>
      </c>
    </row>
    <row r="810" spans="2:24" ht="14" customHeight="1" x14ac:dyDescent="0.25">
      <c r="B810" s="21">
        <v>8</v>
      </c>
      <c r="C810" s="21" t="s">
        <v>357</v>
      </c>
      <c r="D810" s="50">
        <v>0.44</v>
      </c>
      <c r="E810" s="16">
        <v>1.6E-2</v>
      </c>
      <c r="F810" s="16">
        <v>0.1</v>
      </c>
      <c r="G810" s="16">
        <v>1.3160000000000001</v>
      </c>
      <c r="I810" s="21">
        <v>8</v>
      </c>
      <c r="J810" s="21" t="s">
        <v>357</v>
      </c>
      <c r="K810" s="57">
        <v>0.79</v>
      </c>
      <c r="L810" s="56">
        <v>1.1900000000000001E-2</v>
      </c>
      <c r="M810" s="16">
        <v>-0.16</v>
      </c>
      <c r="N810" s="16"/>
      <c r="O810" s="21">
        <v>8</v>
      </c>
      <c r="P810" s="57" t="s">
        <v>322</v>
      </c>
      <c r="Q810" s="59">
        <v>0.19</v>
      </c>
      <c r="R810" s="53">
        <v>4.1999999999999997E-3</v>
      </c>
      <c r="T810" s="21">
        <v>8</v>
      </c>
      <c r="U810" s="56" t="s">
        <v>104</v>
      </c>
      <c r="V810" s="21">
        <v>0.28999999999999998</v>
      </c>
      <c r="W810" s="54">
        <v>1.41E-2</v>
      </c>
    </row>
    <row r="811" spans="2:24" ht="14" customHeight="1" x14ac:dyDescent="0.25">
      <c r="B811" s="21">
        <v>9</v>
      </c>
      <c r="C811" s="15" t="s">
        <v>104</v>
      </c>
      <c r="D811" s="50">
        <v>0.43</v>
      </c>
      <c r="E811" s="16">
        <v>1.5299999999999999E-2</v>
      </c>
      <c r="F811" s="16">
        <v>-0.157</v>
      </c>
      <c r="G811" s="16">
        <v>1.1499999999999999</v>
      </c>
      <c r="I811" s="21">
        <v>9</v>
      </c>
      <c r="J811" s="15" t="s">
        <v>104</v>
      </c>
      <c r="K811" s="57">
        <v>0.78</v>
      </c>
      <c r="L811" s="56">
        <v>1.1900000000000001E-2</v>
      </c>
      <c r="M811" s="16">
        <v>-0.39100000000000001</v>
      </c>
      <c r="N811" s="16"/>
      <c r="O811" s="21">
        <v>9</v>
      </c>
      <c r="P811" s="57" t="s">
        <v>323</v>
      </c>
      <c r="Q811" s="59">
        <v>0.1</v>
      </c>
      <c r="R811" s="53">
        <v>2.3E-3</v>
      </c>
      <c r="T811" s="21">
        <v>9</v>
      </c>
      <c r="U811" s="56" t="s">
        <v>101</v>
      </c>
      <c r="V811" s="21">
        <v>0.15</v>
      </c>
      <c r="W811" s="54">
        <v>7.0000000000000001E-3</v>
      </c>
    </row>
    <row r="812" spans="2:24" ht="14" customHeight="1" x14ac:dyDescent="0.25">
      <c r="B812" s="21">
        <v>10</v>
      </c>
      <c r="C812" s="21" t="s">
        <v>509</v>
      </c>
      <c r="D812" s="50">
        <v>0.2</v>
      </c>
      <c r="E812" s="16">
        <v>7.1999999999999998E-3</v>
      </c>
      <c r="F812" s="16">
        <v>1</v>
      </c>
      <c r="G812" s="16">
        <v>2.3330000000000002</v>
      </c>
      <c r="I812" s="21">
        <v>10</v>
      </c>
      <c r="J812" s="21" t="s">
        <v>509</v>
      </c>
      <c r="K812" s="57">
        <v>0.35</v>
      </c>
      <c r="L812" s="56">
        <v>5.3E-3</v>
      </c>
      <c r="M812" s="16">
        <v>-0.34</v>
      </c>
      <c r="N812" s="16"/>
      <c r="O812" s="21">
        <v>10</v>
      </c>
      <c r="P812" s="57" t="s">
        <v>485</v>
      </c>
      <c r="Q812" s="59">
        <v>0.1</v>
      </c>
      <c r="R812" s="53">
        <v>2.3E-3</v>
      </c>
      <c r="T812" s="21">
        <v>10</v>
      </c>
      <c r="U812" s="56" t="s">
        <v>399</v>
      </c>
      <c r="V812" s="21">
        <v>0.1</v>
      </c>
      <c r="W812" s="54">
        <v>4.5999999999999999E-3</v>
      </c>
    </row>
    <row r="813" spans="2:24" ht="14" customHeight="1" x14ac:dyDescent="0.25">
      <c r="B813" s="21">
        <v>11</v>
      </c>
      <c r="C813" s="21" t="s">
        <v>322</v>
      </c>
      <c r="D813" s="50">
        <v>0.15</v>
      </c>
      <c r="E813" s="65">
        <v>5.4999999999999997E-3</v>
      </c>
      <c r="F813" s="65">
        <f>D813/0.22-1</f>
        <v>-0.31818181818181823</v>
      </c>
      <c r="G813" s="65">
        <f>D813/D834-1</f>
        <v>0.875</v>
      </c>
      <c r="I813" s="21">
        <v>11</v>
      </c>
      <c r="J813" s="21" t="s">
        <v>322</v>
      </c>
      <c r="K813" s="57">
        <v>0.25</v>
      </c>
      <c r="L813" s="65">
        <v>3.8999999999999998E-3</v>
      </c>
      <c r="M813" s="16">
        <f>K813/0.4-1</f>
        <v>-0.375</v>
      </c>
      <c r="N813" s="16"/>
      <c r="O813" s="21">
        <v>11</v>
      </c>
      <c r="P813" s="57" t="s">
        <v>326</v>
      </c>
      <c r="Q813" s="59">
        <v>0.1</v>
      </c>
      <c r="R813" s="53">
        <v>2.2000000000000001E-3</v>
      </c>
      <c r="T813" s="21">
        <v>11</v>
      </c>
      <c r="U813" s="56" t="s">
        <v>504</v>
      </c>
      <c r="V813" s="21">
        <v>0.08</v>
      </c>
      <c r="W813" s="54">
        <v>3.8999999999999998E-3</v>
      </c>
    </row>
    <row r="814" spans="2:24" ht="14" customHeight="1" x14ac:dyDescent="0.25">
      <c r="B814" s="21">
        <v>12</v>
      </c>
      <c r="C814" s="21" t="s">
        <v>471</v>
      </c>
      <c r="D814" s="50">
        <v>0.04</v>
      </c>
      <c r="E814" s="65">
        <v>1.6000000000000001E-3</v>
      </c>
      <c r="F814" s="65"/>
      <c r="G814" s="65"/>
      <c r="I814" s="21">
        <v>12</v>
      </c>
      <c r="J814" s="21" t="s">
        <v>323</v>
      </c>
      <c r="K814" s="57">
        <v>0.16</v>
      </c>
      <c r="L814" s="65">
        <v>2.5000000000000001E-3</v>
      </c>
      <c r="M814" s="16">
        <f>0.16/0.27-1</f>
        <v>-0.40740740740740744</v>
      </c>
      <c r="N814" s="16"/>
      <c r="O814" s="21">
        <v>12</v>
      </c>
      <c r="P814" s="57" t="s">
        <v>408</v>
      </c>
      <c r="Q814" s="59">
        <v>0.05</v>
      </c>
      <c r="R814" s="53">
        <v>1.1999999999999999E-3</v>
      </c>
      <c r="T814" s="21">
        <v>12</v>
      </c>
      <c r="U814" s="56" t="s">
        <v>369</v>
      </c>
      <c r="V814" s="21">
        <v>7.0000000000000007E-2</v>
      </c>
      <c r="W814" s="54">
        <v>3.0999999999999999E-3</v>
      </c>
    </row>
    <row r="815" spans="2:24" ht="14" customHeight="1" x14ac:dyDescent="0.25">
      <c r="B815" s="21">
        <v>13</v>
      </c>
      <c r="C815" s="21" t="s">
        <v>58</v>
      </c>
      <c r="D815" s="50">
        <v>0.04</v>
      </c>
      <c r="E815" s="65">
        <v>1.2999999999999999E-3</v>
      </c>
      <c r="F815" s="65"/>
      <c r="G815" s="65"/>
      <c r="I815" s="21">
        <v>13</v>
      </c>
      <c r="J815" s="21" t="s">
        <v>426</v>
      </c>
      <c r="K815" s="57">
        <v>0.13</v>
      </c>
      <c r="L815" s="65">
        <v>2E-3</v>
      </c>
      <c r="M815" s="16">
        <f>0.13/0.26-1</f>
        <v>-0.5</v>
      </c>
      <c r="N815" s="16"/>
      <c r="O815" s="21">
        <v>13</v>
      </c>
      <c r="P815" s="57" t="s">
        <v>476</v>
      </c>
      <c r="Q815" s="59">
        <v>0.05</v>
      </c>
      <c r="R815" s="53">
        <v>1E-3</v>
      </c>
      <c r="T815" s="21">
        <v>13</v>
      </c>
      <c r="U815" s="56" t="s">
        <v>370</v>
      </c>
      <c r="V815" s="21">
        <v>0.06</v>
      </c>
      <c r="W815" s="54">
        <v>2.8E-3</v>
      </c>
    </row>
    <row r="816" spans="2:24" ht="14" customHeight="1" x14ac:dyDescent="0.25">
      <c r="B816" s="21">
        <v>14</v>
      </c>
      <c r="C816" s="21" t="s">
        <v>539</v>
      </c>
      <c r="D816" s="50">
        <v>0.04</v>
      </c>
      <c r="E816" s="65">
        <v>1.2999999999999999E-3</v>
      </c>
      <c r="F816" s="65"/>
      <c r="G816" s="65">
        <f>D816/D836-1</f>
        <v>-0.20000000000000007</v>
      </c>
      <c r="I816" s="21">
        <v>14</v>
      </c>
      <c r="J816" s="21" t="s">
        <v>326</v>
      </c>
      <c r="K816" s="57">
        <v>0.13</v>
      </c>
      <c r="L816" s="65">
        <v>1.9E-3</v>
      </c>
      <c r="M816" s="16">
        <f>0.13/0.49-1</f>
        <v>-0.73469387755102034</v>
      </c>
      <c r="N816" s="16"/>
      <c r="O816" s="21">
        <v>14</v>
      </c>
      <c r="P816" s="57" t="s">
        <v>426</v>
      </c>
      <c r="Q816" s="59">
        <v>0.03</v>
      </c>
      <c r="R816" s="53">
        <v>8.0000000000000004E-4</v>
      </c>
      <c r="T816" s="21">
        <v>14</v>
      </c>
      <c r="U816" s="56" t="s">
        <v>58</v>
      </c>
      <c r="V816" s="21">
        <v>0.05</v>
      </c>
      <c r="W816" s="54">
        <v>2.2000000000000001E-3</v>
      </c>
    </row>
    <row r="817" spans="2:24" ht="14" customHeight="1" x14ac:dyDescent="0.25">
      <c r="B817" s="21">
        <v>15</v>
      </c>
      <c r="C817" s="21" t="s">
        <v>326</v>
      </c>
      <c r="D817" s="50">
        <v>0.03</v>
      </c>
      <c r="E817" s="65">
        <v>1.1000000000000001E-3</v>
      </c>
      <c r="F817" s="65">
        <f>D817/0.16-1</f>
        <v>-0.8125</v>
      </c>
      <c r="G817" s="65"/>
      <c r="I817" s="21">
        <v>15</v>
      </c>
      <c r="J817" s="21" t="s">
        <v>485</v>
      </c>
      <c r="K817" s="57">
        <v>0.1</v>
      </c>
      <c r="L817" s="65">
        <v>1.6000000000000001E-3</v>
      </c>
      <c r="M817" s="16">
        <f>0.1/0.29-1</f>
        <v>-0.65517241379310343</v>
      </c>
      <c r="N817" s="16"/>
      <c r="O817" s="21">
        <v>15</v>
      </c>
      <c r="P817" s="57" t="s">
        <v>471</v>
      </c>
      <c r="Q817" s="59">
        <v>0.03</v>
      </c>
      <c r="R817" s="53">
        <v>6.9999999999999999E-4</v>
      </c>
      <c r="T817" s="21">
        <v>15</v>
      </c>
      <c r="U817" s="56" t="s">
        <v>329</v>
      </c>
      <c r="V817" s="21">
        <v>0.03</v>
      </c>
      <c r="W817" s="54">
        <v>1.2999999999999999E-3</v>
      </c>
    </row>
    <row r="818" spans="2:24" ht="14" customHeight="1" x14ac:dyDescent="0.25">
      <c r="B818" s="21"/>
      <c r="C818" s="21" t="s">
        <v>77</v>
      </c>
      <c r="D818" s="50">
        <f>D819-SUM(D803:D817)</f>
        <v>0.19000000000000128</v>
      </c>
      <c r="E818" s="65">
        <f>D818/27.8</f>
        <v>6.8345323741007651E-3</v>
      </c>
      <c r="F818" s="65"/>
      <c r="G818" s="65"/>
      <c r="I818" s="21"/>
      <c r="J818" s="21" t="s">
        <v>77</v>
      </c>
      <c r="K818" s="50">
        <f>K819-SUM(K803:K817)</f>
        <v>0.52000000000003865</v>
      </c>
      <c r="L818" s="65">
        <f>K818/65.9</f>
        <v>7.8907435508351834E-3</v>
      </c>
      <c r="M818" s="16"/>
      <c r="N818" s="16"/>
      <c r="P818" s="21" t="s">
        <v>77</v>
      </c>
      <c r="Q818" s="50">
        <f>Q819-SUM(Q803:Q817)</f>
        <v>7.0000000000000284E-2</v>
      </c>
      <c r="R818" s="65">
        <f>Q818/44.9</f>
        <v>1.5590200445434362E-3</v>
      </c>
      <c r="T818" s="56"/>
      <c r="U818" s="21" t="s">
        <v>77</v>
      </c>
      <c r="V818" s="50">
        <f>V819-SUM(V803:V817)</f>
        <v>0.10999999999999943</v>
      </c>
      <c r="W818" s="65">
        <f>V818/20.9</f>
        <v>5.2631578947368151E-3</v>
      </c>
    </row>
    <row r="819" spans="2:24" ht="14" customHeight="1" x14ac:dyDescent="0.25">
      <c r="B819" s="21"/>
      <c r="C819" s="21" t="s">
        <v>78</v>
      </c>
      <c r="D819" s="50">
        <v>27.8</v>
      </c>
      <c r="E819" s="65">
        <f>D819/27.8</f>
        <v>1</v>
      </c>
      <c r="F819" s="65">
        <v>0.29699999999999999</v>
      </c>
      <c r="G819" s="65">
        <v>0.26700000000000002</v>
      </c>
      <c r="I819" s="21"/>
      <c r="J819" s="21" t="s">
        <v>78</v>
      </c>
      <c r="K819" s="57">
        <v>65.900000000000006</v>
      </c>
      <c r="L819" s="65">
        <f>K819/65.9</f>
        <v>1</v>
      </c>
      <c r="M819" s="16">
        <v>0.28399999999999997</v>
      </c>
      <c r="N819" s="16"/>
      <c r="P819" s="21" t="s">
        <v>78</v>
      </c>
      <c r="Q819" s="57">
        <v>44.9</v>
      </c>
      <c r="R819" s="65">
        <f>Q819/44.9</f>
        <v>1</v>
      </c>
      <c r="S819" s="228"/>
      <c r="U819" s="21" t="s">
        <v>78</v>
      </c>
      <c r="V819" s="57">
        <v>20.9</v>
      </c>
      <c r="W819" s="65">
        <f>V819/20.9</f>
        <v>1</v>
      </c>
      <c r="X819" s="228"/>
    </row>
    <row r="823" spans="2:24" ht="14" customHeight="1" x14ac:dyDescent="0.25">
      <c r="B823" s="15" t="s">
        <v>540</v>
      </c>
      <c r="I823" s="15" t="s">
        <v>541</v>
      </c>
    </row>
    <row r="824" spans="2:24" ht="14" customHeight="1" x14ac:dyDescent="0.25">
      <c r="B824" s="21" t="s">
        <v>334</v>
      </c>
      <c r="C824" s="21" t="s">
        <v>335</v>
      </c>
      <c r="D824" s="9" t="s">
        <v>436</v>
      </c>
      <c r="E824" s="21" t="s">
        <v>337</v>
      </c>
      <c r="F824" s="21"/>
      <c r="G824" s="21"/>
      <c r="I824" s="21" t="s">
        <v>334</v>
      </c>
      <c r="J824" s="21" t="s">
        <v>335</v>
      </c>
      <c r="K824" s="9" t="s">
        <v>437</v>
      </c>
      <c r="L824" s="21" t="s">
        <v>337</v>
      </c>
    </row>
    <row r="825" spans="2:24" ht="14" customHeight="1" x14ac:dyDescent="0.25">
      <c r="B825" s="21">
        <v>1</v>
      </c>
      <c r="C825" s="21" t="s">
        <v>68</v>
      </c>
      <c r="D825" s="50">
        <v>9.6</v>
      </c>
      <c r="E825" s="16">
        <v>0.43759999999999999</v>
      </c>
      <c r="F825" s="16"/>
      <c r="G825" s="16"/>
      <c r="I825" s="21">
        <v>1</v>
      </c>
      <c r="J825" s="21" t="s">
        <v>68</v>
      </c>
      <c r="K825" s="57">
        <v>16.760000000000002</v>
      </c>
      <c r="L825" s="56">
        <v>0.44040000000000001</v>
      </c>
    </row>
    <row r="826" spans="2:24" ht="14" customHeight="1" x14ac:dyDescent="0.25">
      <c r="B826" s="21">
        <v>2</v>
      </c>
      <c r="C826" s="21" t="s">
        <v>69</v>
      </c>
      <c r="D826" s="50">
        <v>7.5</v>
      </c>
      <c r="E826" s="16">
        <v>0.34189999999999998</v>
      </c>
      <c r="F826" s="16"/>
      <c r="G826" s="16"/>
      <c r="I826" s="21">
        <v>2</v>
      </c>
      <c r="J826" s="21" t="s">
        <v>69</v>
      </c>
      <c r="K826" s="57">
        <v>13.01</v>
      </c>
      <c r="L826" s="56">
        <v>0.34160000000000001</v>
      </c>
    </row>
    <row r="827" spans="2:24" ht="14" customHeight="1" x14ac:dyDescent="0.25">
      <c r="B827" s="21">
        <v>3</v>
      </c>
      <c r="C827" s="21" t="s">
        <v>71</v>
      </c>
      <c r="D827" s="50">
        <v>1.62</v>
      </c>
      <c r="E827" s="16">
        <v>7.3899999999999993E-2</v>
      </c>
      <c r="F827" s="16"/>
      <c r="G827" s="16"/>
      <c r="I827" s="21">
        <v>3</v>
      </c>
      <c r="J827" s="21" t="s">
        <v>71</v>
      </c>
      <c r="K827" s="57">
        <v>2.42</v>
      </c>
      <c r="L827" s="56">
        <v>6.3500000000000001E-2</v>
      </c>
    </row>
    <row r="828" spans="2:24" ht="14" customHeight="1" x14ac:dyDescent="0.25">
      <c r="B828" s="21">
        <v>4</v>
      </c>
      <c r="C828" s="21" t="s">
        <v>70</v>
      </c>
      <c r="D828" s="50">
        <v>0.78</v>
      </c>
      <c r="E828" s="16">
        <v>3.5799999999999998E-2</v>
      </c>
      <c r="F828" s="16"/>
      <c r="G828" s="16"/>
      <c r="I828" s="21">
        <v>4</v>
      </c>
      <c r="J828" s="21" t="s">
        <v>70</v>
      </c>
      <c r="K828" s="57">
        <v>1.4</v>
      </c>
      <c r="L828" s="56">
        <v>3.6700000000000003E-2</v>
      </c>
    </row>
    <row r="829" spans="2:24" ht="14" customHeight="1" x14ac:dyDescent="0.25">
      <c r="B829" s="21">
        <v>5</v>
      </c>
      <c r="C829" s="21" t="s">
        <v>73</v>
      </c>
      <c r="D829" s="50">
        <v>0.71</v>
      </c>
      <c r="E829" s="16">
        <v>3.2500000000000001E-2</v>
      </c>
      <c r="F829" s="16"/>
      <c r="G829" s="16"/>
      <c r="I829" s="21">
        <v>5</v>
      </c>
      <c r="J829" s="21" t="s">
        <v>73</v>
      </c>
      <c r="K829" s="57">
        <v>1.35</v>
      </c>
      <c r="L829" s="56">
        <v>3.5400000000000001E-2</v>
      </c>
    </row>
    <row r="830" spans="2:24" ht="14" customHeight="1" x14ac:dyDescent="0.25">
      <c r="B830" s="21">
        <v>6</v>
      </c>
      <c r="C830" s="21" t="s">
        <v>127</v>
      </c>
      <c r="D830" s="50">
        <v>0.5</v>
      </c>
      <c r="E830" s="16">
        <v>2.3E-2</v>
      </c>
      <c r="F830" s="16"/>
      <c r="G830" s="16"/>
      <c r="I830" s="21">
        <v>6</v>
      </c>
      <c r="J830" s="21" t="s">
        <v>129</v>
      </c>
      <c r="K830" s="57">
        <v>0.8</v>
      </c>
      <c r="L830" s="56">
        <v>2.0899999999999998E-2</v>
      </c>
    </row>
    <row r="831" spans="2:24" ht="14" customHeight="1" x14ac:dyDescent="0.25">
      <c r="B831" s="21">
        <v>7</v>
      </c>
      <c r="C831" s="21" t="s">
        <v>129</v>
      </c>
      <c r="D831" s="50">
        <v>0.39</v>
      </c>
      <c r="E831" s="16">
        <v>1.77E-2</v>
      </c>
      <c r="F831" s="16"/>
      <c r="G831" s="16"/>
      <c r="I831" s="21">
        <v>7</v>
      </c>
      <c r="J831" s="21" t="s">
        <v>127</v>
      </c>
      <c r="K831" s="57">
        <v>0.72</v>
      </c>
      <c r="L831" s="56">
        <v>1.9E-2</v>
      </c>
    </row>
    <row r="832" spans="2:24" ht="14" customHeight="1" x14ac:dyDescent="0.25">
      <c r="B832" s="21">
        <v>8</v>
      </c>
      <c r="C832" s="21" t="s">
        <v>74</v>
      </c>
      <c r="D832" s="50">
        <v>0.2</v>
      </c>
      <c r="E832" s="16">
        <v>9.2999999999999992E-3</v>
      </c>
      <c r="F832" s="16"/>
      <c r="G832" s="16"/>
      <c r="I832" s="21">
        <v>8</v>
      </c>
      <c r="J832" s="21" t="s">
        <v>74</v>
      </c>
      <c r="K832" s="57">
        <v>0.36</v>
      </c>
      <c r="L832" s="56">
        <v>9.4000000000000004E-3</v>
      </c>
    </row>
    <row r="833" spans="2:12" ht="14" customHeight="1" x14ac:dyDescent="0.25">
      <c r="B833" s="21">
        <v>9</v>
      </c>
      <c r="C833" s="15" t="s">
        <v>185</v>
      </c>
      <c r="D833" s="50">
        <v>0.19</v>
      </c>
      <c r="E833" s="16">
        <v>8.8000000000000005E-3</v>
      </c>
      <c r="F833" s="16"/>
      <c r="G833" s="16"/>
      <c r="I833" s="21">
        <v>9</v>
      </c>
      <c r="J833" s="21" t="s">
        <v>357</v>
      </c>
      <c r="K833" s="57">
        <v>0.34</v>
      </c>
      <c r="L833" s="56">
        <v>8.9999999999999993E-3</v>
      </c>
    </row>
    <row r="834" spans="2:12" ht="14" customHeight="1" x14ac:dyDescent="0.25">
      <c r="B834" s="21">
        <v>10</v>
      </c>
      <c r="C834" s="21" t="s">
        <v>322</v>
      </c>
      <c r="D834" s="50">
        <v>0.08</v>
      </c>
      <c r="E834" s="16">
        <v>3.8E-3</v>
      </c>
      <c r="F834" s="16"/>
      <c r="G834" s="16"/>
      <c r="I834" s="21">
        <v>10</v>
      </c>
      <c r="J834" s="21" t="s">
        <v>509</v>
      </c>
      <c r="K834" s="57">
        <v>0.15</v>
      </c>
      <c r="L834" s="56">
        <v>3.8999999999999998E-3</v>
      </c>
    </row>
    <row r="835" spans="2:12" ht="14" customHeight="1" x14ac:dyDescent="0.25">
      <c r="B835" s="21">
        <v>11</v>
      </c>
      <c r="C835" s="21" t="s">
        <v>509</v>
      </c>
      <c r="D835" s="50">
        <v>0.06</v>
      </c>
      <c r="E835" s="65">
        <v>2.8999999999999998E-3</v>
      </c>
      <c r="F835" s="65"/>
      <c r="G835" s="65"/>
      <c r="I835" s="21">
        <v>11</v>
      </c>
      <c r="J835" s="21" t="s">
        <v>323</v>
      </c>
      <c r="K835" s="57">
        <v>0.13</v>
      </c>
      <c r="L835" s="65">
        <v>3.5000000000000001E-3</v>
      </c>
    </row>
    <row r="836" spans="2:12" ht="14" customHeight="1" x14ac:dyDescent="0.25">
      <c r="B836" s="21">
        <v>12</v>
      </c>
      <c r="C836" s="21" t="s">
        <v>539</v>
      </c>
      <c r="D836" s="50">
        <v>0.05</v>
      </c>
      <c r="E836" s="65">
        <v>2.2000000000000001E-3</v>
      </c>
      <c r="F836" s="65"/>
      <c r="G836" s="65"/>
      <c r="I836" s="21">
        <v>12</v>
      </c>
      <c r="J836" s="21" t="s">
        <v>426</v>
      </c>
      <c r="K836" s="57">
        <v>0.12</v>
      </c>
      <c r="L836" s="65">
        <v>3.0999999999999999E-3</v>
      </c>
    </row>
    <row r="837" spans="2:12" ht="14" customHeight="1" x14ac:dyDescent="0.25">
      <c r="B837" s="21">
        <v>13</v>
      </c>
      <c r="C837" s="21" t="s">
        <v>426</v>
      </c>
      <c r="D837" s="50">
        <v>0.04</v>
      </c>
      <c r="E837" s="65">
        <v>2E-3</v>
      </c>
      <c r="F837" s="65"/>
      <c r="G837" s="65"/>
      <c r="I837" s="21">
        <v>13</v>
      </c>
      <c r="J837" s="21" t="s">
        <v>322</v>
      </c>
      <c r="K837" s="57">
        <v>0.1</v>
      </c>
      <c r="L837" s="65">
        <v>2.7000000000000001E-3</v>
      </c>
    </row>
    <row r="838" spans="2:12" ht="14" customHeight="1" x14ac:dyDescent="0.25">
      <c r="B838" s="21">
        <v>14</v>
      </c>
      <c r="C838" s="21" t="s">
        <v>485</v>
      </c>
      <c r="D838" s="50">
        <v>0.04</v>
      </c>
      <c r="E838" s="65">
        <v>2E-3</v>
      </c>
      <c r="F838" s="65"/>
      <c r="G838" s="65"/>
      <c r="I838" s="21">
        <v>14</v>
      </c>
      <c r="J838" s="21" t="s">
        <v>326</v>
      </c>
      <c r="K838" s="57">
        <v>0.1</v>
      </c>
      <c r="L838" s="65">
        <v>2.5000000000000001E-3</v>
      </c>
    </row>
    <row r="839" spans="2:12" ht="14" customHeight="1" x14ac:dyDescent="0.25">
      <c r="B839" s="21">
        <v>15</v>
      </c>
      <c r="C839" s="21" t="s">
        <v>323</v>
      </c>
      <c r="D839" s="50">
        <v>0.03</v>
      </c>
      <c r="E839" s="65">
        <v>1.5E-3</v>
      </c>
      <c r="F839" s="65"/>
      <c r="G839" s="65"/>
      <c r="I839" s="21">
        <v>15</v>
      </c>
      <c r="J839" s="21" t="s">
        <v>485</v>
      </c>
      <c r="K839" s="57">
        <v>0.09</v>
      </c>
      <c r="L839" s="65">
        <v>2.3999999999999998E-3</v>
      </c>
    </row>
    <row r="843" spans="2:12" ht="14" customHeight="1" x14ac:dyDescent="0.25">
      <c r="B843" s="15" t="s">
        <v>542</v>
      </c>
    </row>
    <row r="844" spans="2:12" ht="14" customHeight="1" x14ac:dyDescent="0.25">
      <c r="B844" s="21" t="s">
        <v>334</v>
      </c>
      <c r="C844" s="21" t="s">
        <v>335</v>
      </c>
      <c r="D844" s="9" t="s">
        <v>436</v>
      </c>
      <c r="E844" s="21" t="s">
        <v>337</v>
      </c>
      <c r="F844" s="21"/>
      <c r="G844" s="21"/>
      <c r="I844" s="21"/>
      <c r="J844" s="21"/>
      <c r="K844" s="9"/>
      <c r="L844" s="21"/>
    </row>
    <row r="845" spans="2:12" ht="14" customHeight="1" x14ac:dyDescent="0.25">
      <c r="B845" s="21">
        <v>1</v>
      </c>
      <c r="C845" s="21" t="s">
        <v>68</v>
      </c>
      <c r="D845" s="50">
        <v>7.17</v>
      </c>
      <c r="E845" s="16">
        <v>0.44409999999999999</v>
      </c>
      <c r="F845" s="16"/>
      <c r="G845" s="16"/>
      <c r="I845" s="21" t="s">
        <v>60</v>
      </c>
      <c r="J845" s="21"/>
      <c r="K845" s="57"/>
      <c r="L845" s="56"/>
    </row>
    <row r="846" spans="2:12" ht="14" customHeight="1" x14ac:dyDescent="0.25">
      <c r="B846" s="21">
        <v>2</v>
      </c>
      <c r="C846" s="21" t="s">
        <v>69</v>
      </c>
      <c r="D846" s="50">
        <v>5.51</v>
      </c>
      <c r="E846" s="16">
        <v>0.3412</v>
      </c>
      <c r="F846" s="16"/>
      <c r="G846" s="16"/>
      <c r="I846" s="21"/>
      <c r="J846" s="21"/>
      <c r="K846" s="57"/>
      <c r="L846" s="56"/>
    </row>
    <row r="847" spans="2:12" ht="14" customHeight="1" x14ac:dyDescent="0.25">
      <c r="B847" s="21">
        <v>3</v>
      </c>
      <c r="C847" s="21" t="s">
        <v>71</v>
      </c>
      <c r="D847" s="50">
        <v>0.79</v>
      </c>
      <c r="E847" s="16">
        <v>4.9299999999999997E-2</v>
      </c>
      <c r="F847" s="16"/>
      <c r="G847" s="16"/>
      <c r="I847" s="21"/>
      <c r="J847" s="21"/>
      <c r="K847" s="57"/>
      <c r="L847" s="56"/>
    </row>
    <row r="848" spans="2:12" ht="14" customHeight="1" x14ac:dyDescent="0.25">
      <c r="B848" s="21">
        <v>4</v>
      </c>
      <c r="C848" s="21" t="s">
        <v>73</v>
      </c>
      <c r="D848" s="50">
        <v>0.64</v>
      </c>
      <c r="E848" s="16">
        <v>3.9399999999999998E-2</v>
      </c>
      <c r="F848" s="16"/>
      <c r="G848" s="16"/>
      <c r="I848" s="21"/>
      <c r="J848" s="21"/>
      <c r="K848" s="57"/>
      <c r="L848" s="56"/>
    </row>
    <row r="849" spans="2:12" ht="14" customHeight="1" x14ac:dyDescent="0.25">
      <c r="B849" s="21">
        <v>5</v>
      </c>
      <c r="C849" s="21" t="s">
        <v>70</v>
      </c>
      <c r="D849" s="50">
        <v>0.61</v>
      </c>
      <c r="E849" s="16">
        <v>3.7999999999999999E-2</v>
      </c>
      <c r="F849" s="16"/>
      <c r="G849" s="16"/>
      <c r="I849" s="21"/>
      <c r="J849" s="21"/>
      <c r="K849" s="57"/>
      <c r="L849" s="56"/>
    </row>
    <row r="850" spans="2:12" ht="14" customHeight="1" x14ac:dyDescent="0.25">
      <c r="B850" s="21">
        <v>6</v>
      </c>
      <c r="C850" s="21" t="s">
        <v>129</v>
      </c>
      <c r="D850" s="50">
        <v>0.41</v>
      </c>
      <c r="E850" s="16">
        <v>2.5399999999999999E-2</v>
      </c>
      <c r="F850" s="16"/>
      <c r="G850" s="16"/>
      <c r="I850" s="21"/>
      <c r="J850" s="21"/>
      <c r="K850" s="57"/>
      <c r="L850" s="56"/>
    </row>
    <row r="851" spans="2:12" ht="14" customHeight="1" x14ac:dyDescent="0.25">
      <c r="B851" s="21">
        <v>7</v>
      </c>
      <c r="C851" s="21" t="s">
        <v>127</v>
      </c>
      <c r="D851" s="50">
        <v>0.22</v>
      </c>
      <c r="E851" s="16">
        <v>1.3599999999999999E-2</v>
      </c>
      <c r="F851" s="16"/>
      <c r="G851" s="16"/>
      <c r="I851" s="21"/>
      <c r="J851" s="21"/>
      <c r="K851" s="57"/>
      <c r="L851" s="56"/>
    </row>
    <row r="852" spans="2:12" ht="14" customHeight="1" x14ac:dyDescent="0.25">
      <c r="B852" s="21">
        <v>8</v>
      </c>
      <c r="C852" s="21" t="s">
        <v>74</v>
      </c>
      <c r="D852" s="50">
        <v>0.15</v>
      </c>
      <c r="E852" s="16">
        <v>9.4999999999999998E-3</v>
      </c>
      <c r="F852" s="16"/>
      <c r="G852" s="16"/>
      <c r="I852" s="21"/>
      <c r="J852" s="21"/>
      <c r="K852" s="57"/>
      <c r="L852" s="56"/>
    </row>
    <row r="853" spans="2:12" ht="14" customHeight="1" x14ac:dyDescent="0.25">
      <c r="B853" s="21">
        <v>9</v>
      </c>
      <c r="C853" s="21" t="s">
        <v>357</v>
      </c>
      <c r="D853" s="50">
        <v>0.15</v>
      </c>
      <c r="E853" s="16">
        <v>9.1999999999999998E-3</v>
      </c>
      <c r="F853" s="16"/>
      <c r="G853" s="16"/>
      <c r="I853" s="21"/>
      <c r="J853" s="21"/>
      <c r="K853" s="57"/>
      <c r="L853" s="56"/>
    </row>
    <row r="854" spans="2:12" ht="14" customHeight="1" x14ac:dyDescent="0.25">
      <c r="B854" s="21">
        <v>10</v>
      </c>
      <c r="C854" s="21" t="s">
        <v>323</v>
      </c>
      <c r="D854" s="50">
        <v>0.1</v>
      </c>
      <c r="E854" s="16">
        <v>6.1000000000000004E-3</v>
      </c>
      <c r="F854" s="16"/>
      <c r="G854" s="16"/>
      <c r="I854" s="21"/>
      <c r="J854" s="21"/>
      <c r="K854" s="57"/>
      <c r="L854" s="56"/>
    </row>
    <row r="855" spans="2:12" ht="14" customHeight="1" x14ac:dyDescent="0.25">
      <c r="B855" s="21">
        <v>11</v>
      </c>
      <c r="C855" s="21" t="s">
        <v>509</v>
      </c>
      <c r="D855" s="50">
        <v>0.09</v>
      </c>
      <c r="E855" s="65">
        <v>5.3E-3</v>
      </c>
      <c r="F855" s="65"/>
      <c r="G855" s="65"/>
      <c r="I855" s="21"/>
      <c r="J855" s="21"/>
      <c r="K855" s="57"/>
      <c r="L855" s="65"/>
    </row>
    <row r="856" spans="2:12" ht="14" customHeight="1" x14ac:dyDescent="0.25">
      <c r="B856" s="21">
        <v>12</v>
      </c>
      <c r="C856" s="21" t="s">
        <v>326</v>
      </c>
      <c r="D856" s="50">
        <v>0.08</v>
      </c>
      <c r="E856" s="65">
        <v>4.7000000000000002E-3</v>
      </c>
      <c r="F856" s="65"/>
      <c r="G856" s="65"/>
      <c r="I856" s="21"/>
      <c r="J856" s="21"/>
      <c r="K856" s="57"/>
      <c r="L856" s="65"/>
    </row>
    <row r="857" spans="2:12" ht="14" customHeight="1" x14ac:dyDescent="0.25">
      <c r="B857" s="21">
        <v>13</v>
      </c>
      <c r="C857" s="21" t="s">
        <v>426</v>
      </c>
      <c r="D857" s="50">
        <v>7.0000000000000007E-2</v>
      </c>
      <c r="E857" s="65">
        <v>4.5999999999999999E-3</v>
      </c>
      <c r="F857" s="65"/>
      <c r="G857" s="65"/>
      <c r="I857" s="21"/>
      <c r="J857" s="21"/>
      <c r="K857" s="57"/>
      <c r="L857" s="65"/>
    </row>
    <row r="858" spans="2:12" ht="14" customHeight="1" x14ac:dyDescent="0.25">
      <c r="B858" s="21">
        <v>14</v>
      </c>
      <c r="C858" s="21" t="s">
        <v>485</v>
      </c>
      <c r="D858" s="50">
        <v>0.05</v>
      </c>
      <c r="E858" s="65">
        <v>3.0000000000000001E-3</v>
      </c>
      <c r="F858" s="65"/>
      <c r="G858" s="65"/>
      <c r="I858" s="21"/>
      <c r="J858" s="21"/>
      <c r="K858" s="57"/>
      <c r="L858" s="65"/>
    </row>
    <row r="859" spans="2:12" ht="14" customHeight="1" x14ac:dyDescent="0.25">
      <c r="B859" s="21">
        <v>15</v>
      </c>
      <c r="C859" s="21" t="s">
        <v>322</v>
      </c>
      <c r="D859" s="50">
        <v>0.02</v>
      </c>
      <c r="E859" s="65">
        <v>1.1000000000000001E-3</v>
      </c>
      <c r="F859" s="65"/>
      <c r="G859" s="65"/>
      <c r="I859" s="21"/>
      <c r="J859" s="21"/>
      <c r="K859" s="57"/>
      <c r="L859" s="65"/>
    </row>
    <row r="860" spans="2:12" ht="14" customHeight="1" x14ac:dyDescent="0.25">
      <c r="B860" s="21"/>
      <c r="C860" s="21"/>
      <c r="D860" s="50"/>
      <c r="E860" s="65"/>
      <c r="F860" s="65"/>
      <c r="G860" s="65"/>
      <c r="I860" s="21"/>
      <c r="J860" s="21"/>
      <c r="K860" s="57"/>
      <c r="L860" s="65"/>
    </row>
    <row r="861" spans="2:12" ht="14" customHeight="1" x14ac:dyDescent="0.25">
      <c r="B861" s="21"/>
      <c r="C861" s="21"/>
      <c r="D861" s="50"/>
      <c r="E861" s="65"/>
      <c r="F861" s="65"/>
      <c r="G861" s="65"/>
      <c r="I861" s="21"/>
      <c r="J861" s="21"/>
      <c r="K861" s="57"/>
      <c r="L861" s="65"/>
    </row>
    <row r="862" spans="2:12" ht="14" customHeight="1" x14ac:dyDescent="0.25">
      <c r="B862" s="21"/>
      <c r="C862" s="21"/>
      <c r="D862" s="50"/>
      <c r="E862" s="65"/>
      <c r="F862" s="65"/>
      <c r="G862" s="65"/>
      <c r="I862" s="21"/>
      <c r="J862" s="21"/>
      <c r="K862" s="57"/>
      <c r="L862" s="65"/>
    </row>
    <row r="863" spans="2:12" ht="14" customHeight="1" x14ac:dyDescent="0.25">
      <c r="B863" s="15" t="s">
        <v>543</v>
      </c>
      <c r="I863" s="15" t="s">
        <v>544</v>
      </c>
    </row>
    <row r="864" spans="2:12" ht="14" customHeight="1" x14ac:dyDescent="0.25">
      <c r="B864" s="21" t="s">
        <v>334</v>
      </c>
      <c r="C864" s="21" t="s">
        <v>335</v>
      </c>
      <c r="D864" s="9" t="s">
        <v>436</v>
      </c>
      <c r="E864" s="21" t="s">
        <v>337</v>
      </c>
      <c r="F864" s="21"/>
      <c r="G864" s="21"/>
      <c r="I864" s="21" t="s">
        <v>334</v>
      </c>
      <c r="J864" s="21" t="s">
        <v>335</v>
      </c>
      <c r="K864" s="9" t="s">
        <v>437</v>
      </c>
      <c r="L864" s="21" t="s">
        <v>337</v>
      </c>
    </row>
    <row r="865" spans="2:23" ht="14" customHeight="1" x14ac:dyDescent="0.25">
      <c r="B865" s="21">
        <v>1</v>
      </c>
      <c r="C865" s="21" t="s">
        <v>68</v>
      </c>
      <c r="D865" s="50">
        <v>17.89</v>
      </c>
      <c r="E865" s="16">
        <v>0.49490000000000001</v>
      </c>
      <c r="F865" s="16"/>
      <c r="G865" s="16"/>
      <c r="I865" s="21">
        <v>1</v>
      </c>
      <c r="J865" s="21" t="s">
        <v>68</v>
      </c>
      <c r="K865" s="57">
        <v>142.02000000000001</v>
      </c>
      <c r="L865" s="56">
        <v>0.48199999999999998</v>
      </c>
      <c r="O865" s="25"/>
      <c r="P865" s="27"/>
      <c r="Q865" s="25"/>
      <c r="S865" s="15"/>
      <c r="T865" s="25"/>
      <c r="U865" s="27"/>
      <c r="V865" s="25"/>
    </row>
    <row r="866" spans="2:23" ht="14" customHeight="1" x14ac:dyDescent="0.25">
      <c r="B866" s="21">
        <v>2</v>
      </c>
      <c r="C866" s="21" t="s">
        <v>69</v>
      </c>
      <c r="D866" s="50">
        <v>9.36</v>
      </c>
      <c r="E866" s="16">
        <v>0.25900000000000001</v>
      </c>
      <c r="F866" s="16"/>
      <c r="G866" s="16"/>
      <c r="I866" s="21">
        <v>2</v>
      </c>
      <c r="J866" s="21" t="s">
        <v>69</v>
      </c>
      <c r="K866" s="57">
        <v>69.099999999999994</v>
      </c>
      <c r="L866" s="56">
        <v>0.23449999999999999</v>
      </c>
      <c r="O866" s="15"/>
      <c r="P866" s="25"/>
      <c r="Q866" s="27"/>
      <c r="R866" s="25"/>
      <c r="T866" s="15"/>
      <c r="U866" s="25"/>
      <c r="V866" s="27"/>
      <c r="W866" s="25"/>
    </row>
    <row r="867" spans="2:23" ht="14" customHeight="1" x14ac:dyDescent="0.25">
      <c r="B867" s="21">
        <v>3</v>
      </c>
      <c r="C867" s="21" t="s">
        <v>71</v>
      </c>
      <c r="D867" s="50">
        <v>1.85</v>
      </c>
      <c r="E867" s="16">
        <v>5.11E-2</v>
      </c>
      <c r="F867" s="16"/>
      <c r="G867" s="16"/>
      <c r="I867" s="21">
        <v>3</v>
      </c>
      <c r="J867" s="21" t="s">
        <v>71</v>
      </c>
      <c r="K867" s="57">
        <v>19.239999999999998</v>
      </c>
      <c r="L867" s="56">
        <v>6.5299999999999997E-2</v>
      </c>
      <c r="O867" s="25"/>
      <c r="P867" s="15"/>
      <c r="Q867" s="15"/>
      <c r="R867" s="15"/>
      <c r="S867" s="15"/>
      <c r="T867" s="15"/>
      <c r="U867" s="15"/>
      <c r="V867" s="15"/>
      <c r="W867" s="15"/>
    </row>
    <row r="868" spans="2:23" ht="14" customHeight="1" x14ac:dyDescent="0.25">
      <c r="B868" s="21">
        <v>4</v>
      </c>
      <c r="C868" s="21" t="s">
        <v>129</v>
      </c>
      <c r="D868" s="50">
        <v>1.4</v>
      </c>
      <c r="E868" s="16">
        <v>3.8699999999999998E-2</v>
      </c>
      <c r="F868" s="16"/>
      <c r="G868" s="16"/>
      <c r="I868" s="21">
        <v>4</v>
      </c>
      <c r="J868" s="21" t="s">
        <v>70</v>
      </c>
      <c r="K868" s="57">
        <v>13.33</v>
      </c>
      <c r="L868" s="56">
        <v>4.5199999999999997E-2</v>
      </c>
      <c r="M868" s="49"/>
      <c r="N868" s="49"/>
      <c r="O868" s="21"/>
      <c r="P868" s="21"/>
      <c r="Q868" s="9"/>
      <c r="R868" s="21"/>
      <c r="S868" s="49"/>
      <c r="T868" s="15"/>
      <c r="U868" s="15"/>
      <c r="V868" s="15"/>
      <c r="W868" s="15"/>
    </row>
    <row r="869" spans="2:23" ht="14" customHeight="1" x14ac:dyDescent="0.25">
      <c r="B869" s="21">
        <v>5</v>
      </c>
      <c r="C869" s="21" t="s">
        <v>70</v>
      </c>
      <c r="D869" s="50">
        <v>1.31</v>
      </c>
      <c r="E869" s="16">
        <v>3.6299999999999999E-2</v>
      </c>
      <c r="F869" s="16"/>
      <c r="G869" s="16"/>
      <c r="I869" s="21">
        <v>5</v>
      </c>
      <c r="J869" s="21" t="s">
        <v>129</v>
      </c>
      <c r="K869" s="57">
        <v>7.73</v>
      </c>
      <c r="L869" s="56">
        <v>2.6200000000000001E-2</v>
      </c>
      <c r="O869" s="15"/>
      <c r="P869" s="15"/>
      <c r="Q869" s="15"/>
      <c r="R869" s="15"/>
      <c r="S869" s="49"/>
      <c r="T869" s="15"/>
      <c r="U869" s="15"/>
      <c r="V869" s="15"/>
      <c r="W869" s="15"/>
    </row>
    <row r="870" spans="2:23" ht="14" customHeight="1" x14ac:dyDescent="0.25">
      <c r="B870" s="21">
        <v>6</v>
      </c>
      <c r="C870" s="21" t="s">
        <v>73</v>
      </c>
      <c r="D870" s="50">
        <v>1.27</v>
      </c>
      <c r="E870" s="16">
        <v>3.5099999999999999E-2</v>
      </c>
      <c r="F870" s="16"/>
      <c r="G870" s="16"/>
      <c r="I870" s="21">
        <v>6</v>
      </c>
      <c r="J870" s="21" t="s">
        <v>73</v>
      </c>
      <c r="K870" s="57">
        <v>7.18</v>
      </c>
      <c r="L870" s="56">
        <v>2.4400000000000002E-2</v>
      </c>
      <c r="O870" s="15"/>
      <c r="P870" s="15"/>
      <c r="Q870" s="15"/>
      <c r="R870" s="15"/>
      <c r="S870" s="49"/>
      <c r="T870" s="15"/>
      <c r="U870" s="15"/>
      <c r="V870" s="15"/>
      <c r="W870" s="15"/>
    </row>
    <row r="871" spans="2:23" ht="14" customHeight="1" x14ac:dyDescent="0.25">
      <c r="B871" s="21">
        <v>7</v>
      </c>
      <c r="C871" s="21" t="s">
        <v>357</v>
      </c>
      <c r="D871" s="50">
        <v>0.78</v>
      </c>
      <c r="E871" s="16">
        <v>2.1499999999999998E-2</v>
      </c>
      <c r="F871" s="16"/>
      <c r="G871" s="16"/>
      <c r="I871" s="21">
        <v>7</v>
      </c>
      <c r="J871" s="21" t="s">
        <v>74</v>
      </c>
      <c r="K871" s="57">
        <v>6.1</v>
      </c>
      <c r="L871" s="56">
        <v>2.07E-2</v>
      </c>
      <c r="O871" s="15"/>
      <c r="P871" s="15"/>
      <c r="Q871" s="15"/>
      <c r="R871" s="15"/>
      <c r="S871" s="49"/>
      <c r="T871" s="15"/>
      <c r="U871" s="15"/>
      <c r="V871" s="15"/>
      <c r="W871" s="15"/>
    </row>
    <row r="872" spans="2:23" ht="14" customHeight="1" x14ac:dyDescent="0.25">
      <c r="B872" s="21">
        <v>8</v>
      </c>
      <c r="C872" s="21" t="s">
        <v>322</v>
      </c>
      <c r="D872" s="50">
        <v>0.48</v>
      </c>
      <c r="E872" s="16">
        <v>1.32E-2</v>
      </c>
      <c r="F872" s="16"/>
      <c r="G872" s="16"/>
      <c r="I872" s="21">
        <v>8</v>
      </c>
      <c r="J872" s="21" t="s">
        <v>357</v>
      </c>
      <c r="K872" s="57">
        <v>5.36</v>
      </c>
      <c r="L872" s="56">
        <v>1.8200000000000001E-2</v>
      </c>
      <c r="O872" s="15"/>
      <c r="P872" s="15"/>
      <c r="Q872" s="15"/>
      <c r="R872" s="15"/>
      <c r="S872" s="49"/>
      <c r="T872" s="15"/>
      <c r="U872" s="15"/>
      <c r="V872" s="15"/>
      <c r="W872" s="15"/>
    </row>
    <row r="873" spans="2:23" ht="14" customHeight="1" x14ac:dyDescent="0.25">
      <c r="B873" s="21">
        <v>9</v>
      </c>
      <c r="C873" s="21" t="s">
        <v>74</v>
      </c>
      <c r="D873" s="50">
        <v>0.46</v>
      </c>
      <c r="E873" s="16">
        <v>1.2800000000000001E-2</v>
      </c>
      <c r="F873" s="16"/>
      <c r="G873" s="16"/>
      <c r="I873" s="21">
        <v>9</v>
      </c>
      <c r="J873" s="21" t="s">
        <v>127</v>
      </c>
      <c r="K873" s="57">
        <v>5.2</v>
      </c>
      <c r="L873" s="56">
        <v>1.77E-2</v>
      </c>
      <c r="O873" s="15"/>
      <c r="P873" s="15"/>
      <c r="Q873" s="15"/>
      <c r="R873" s="15"/>
      <c r="S873" s="49"/>
      <c r="T873" s="15"/>
      <c r="U873" s="15"/>
      <c r="V873" s="15"/>
      <c r="W873" s="15"/>
    </row>
    <row r="874" spans="2:23" ht="14" customHeight="1" x14ac:dyDescent="0.25">
      <c r="B874" s="21">
        <v>10</v>
      </c>
      <c r="C874" s="21" t="s">
        <v>127</v>
      </c>
      <c r="D874" s="50">
        <v>0.25</v>
      </c>
      <c r="E874" s="16">
        <v>6.8999999999999999E-3</v>
      </c>
      <c r="F874" s="16"/>
      <c r="G874" s="16"/>
      <c r="I874" s="21">
        <v>10</v>
      </c>
      <c r="J874" s="21" t="s">
        <v>322</v>
      </c>
      <c r="K874" s="57">
        <v>4.5199999999999996</v>
      </c>
      <c r="L874" s="56">
        <v>1.5299999999999999E-2</v>
      </c>
      <c r="O874" s="15"/>
      <c r="P874" s="15"/>
      <c r="Q874" s="15"/>
      <c r="R874" s="15"/>
      <c r="S874" s="49"/>
      <c r="T874" s="15"/>
      <c r="U874" s="15"/>
      <c r="V874" s="15"/>
      <c r="W874" s="15"/>
    </row>
    <row r="875" spans="2:23" ht="14" customHeight="1" x14ac:dyDescent="0.25">
      <c r="B875" s="21">
        <v>11</v>
      </c>
      <c r="C875" s="21" t="s">
        <v>426</v>
      </c>
      <c r="D875" s="50">
        <v>0.18</v>
      </c>
      <c r="E875" s="65">
        <v>4.8999999999999998E-3</v>
      </c>
      <c r="F875" s="65"/>
      <c r="G875" s="65"/>
      <c r="I875" s="21">
        <v>11</v>
      </c>
      <c r="J875" s="21" t="s">
        <v>509</v>
      </c>
      <c r="K875" s="57">
        <v>2.4300000000000002</v>
      </c>
      <c r="L875" s="65">
        <v>8.2000000000000007E-3</v>
      </c>
      <c r="O875" s="15"/>
      <c r="P875" s="15"/>
      <c r="Q875" s="15"/>
      <c r="R875" s="15"/>
      <c r="S875" s="49"/>
      <c r="T875" s="15"/>
      <c r="U875" s="15"/>
      <c r="V875" s="15"/>
      <c r="W875" s="15"/>
    </row>
    <row r="876" spans="2:23" ht="14" customHeight="1" x14ac:dyDescent="0.25">
      <c r="B876" s="21">
        <v>12</v>
      </c>
      <c r="C876" s="21" t="s">
        <v>509</v>
      </c>
      <c r="D876" s="50">
        <v>0.14000000000000001</v>
      </c>
      <c r="E876" s="65">
        <v>3.8999999999999998E-3</v>
      </c>
      <c r="F876" s="65"/>
      <c r="G876" s="65"/>
      <c r="I876" s="21">
        <v>12</v>
      </c>
      <c r="J876" s="21" t="s">
        <v>323</v>
      </c>
      <c r="K876" s="57">
        <v>2.36</v>
      </c>
      <c r="L876" s="65">
        <v>8.0000000000000002E-3</v>
      </c>
      <c r="O876" s="15"/>
      <c r="P876" s="15"/>
      <c r="Q876" s="15"/>
      <c r="R876" s="15"/>
      <c r="S876" s="49"/>
      <c r="T876" s="15"/>
      <c r="U876" s="15"/>
      <c r="V876" s="15"/>
      <c r="W876" s="15"/>
    </row>
    <row r="877" spans="2:23" ht="14" customHeight="1" x14ac:dyDescent="0.25">
      <c r="B877" s="21">
        <v>13</v>
      </c>
      <c r="C877" s="21" t="s">
        <v>485</v>
      </c>
      <c r="D877" s="50">
        <v>0.1</v>
      </c>
      <c r="E877" s="65">
        <v>2.7000000000000001E-3</v>
      </c>
      <c r="F877" s="65"/>
      <c r="G877" s="65"/>
      <c r="I877" s="21">
        <v>13</v>
      </c>
      <c r="J877" s="21" t="s">
        <v>326</v>
      </c>
      <c r="K877" s="57">
        <v>1.76</v>
      </c>
      <c r="L877" s="65">
        <v>6.0000000000000001E-3</v>
      </c>
      <c r="O877" s="15"/>
      <c r="P877" s="15"/>
      <c r="Q877" s="15"/>
      <c r="R877" s="15"/>
      <c r="S877" s="49"/>
      <c r="T877" s="15"/>
      <c r="U877" s="15"/>
      <c r="V877" s="15"/>
      <c r="W877" s="15"/>
    </row>
    <row r="878" spans="2:23" ht="14" customHeight="1" x14ac:dyDescent="0.25">
      <c r="B878" s="21">
        <v>14</v>
      </c>
      <c r="C878" s="21" t="s">
        <v>323</v>
      </c>
      <c r="D878" s="50">
        <v>0.09</v>
      </c>
      <c r="E878" s="65">
        <v>2.5000000000000001E-3</v>
      </c>
      <c r="F878" s="65"/>
      <c r="G878" s="65"/>
      <c r="I878" s="21">
        <v>14</v>
      </c>
      <c r="J878" s="21" t="s">
        <v>426</v>
      </c>
      <c r="K878" s="57">
        <v>1.52</v>
      </c>
      <c r="L878" s="65">
        <v>5.1999999999999998E-3</v>
      </c>
      <c r="O878" s="15"/>
      <c r="P878" s="15"/>
      <c r="Q878" s="15"/>
      <c r="R878" s="15"/>
      <c r="S878" s="49"/>
      <c r="T878" s="15"/>
      <c r="U878" s="15"/>
      <c r="V878" s="15"/>
      <c r="W878" s="15"/>
    </row>
    <row r="879" spans="2:23" ht="14" customHeight="1" x14ac:dyDescent="0.25">
      <c r="B879" s="21">
        <v>15</v>
      </c>
      <c r="C879" s="21" t="s">
        <v>545</v>
      </c>
      <c r="D879" s="50">
        <v>0.08</v>
      </c>
      <c r="E879" s="65">
        <v>2.3E-3</v>
      </c>
      <c r="F879" s="65"/>
      <c r="G879" s="65"/>
      <c r="I879" s="21">
        <v>15</v>
      </c>
      <c r="J879" s="21" t="s">
        <v>485</v>
      </c>
      <c r="K879" s="57">
        <v>1.29</v>
      </c>
      <c r="L879" s="65">
        <v>4.4000000000000003E-3</v>
      </c>
      <c r="O879" s="15"/>
      <c r="P879" s="15"/>
      <c r="Q879" s="15"/>
      <c r="R879" s="15"/>
      <c r="S879" s="49"/>
      <c r="T879" s="15"/>
      <c r="U879" s="15"/>
      <c r="V879" s="15"/>
      <c r="W879" s="15"/>
    </row>
    <row r="880" spans="2:23" ht="14" customHeight="1" x14ac:dyDescent="0.25">
      <c r="O880" s="15"/>
      <c r="P880" s="15"/>
      <c r="Q880" s="15"/>
      <c r="R880" s="15"/>
      <c r="S880" s="49"/>
      <c r="T880" s="15"/>
      <c r="U880" s="15"/>
      <c r="V880" s="15"/>
      <c r="W880" s="15"/>
    </row>
    <row r="881" spans="2:23" ht="14" customHeight="1" x14ac:dyDescent="0.25">
      <c r="O881" s="15"/>
      <c r="P881" s="15"/>
      <c r="Q881" s="15"/>
      <c r="R881" s="15"/>
      <c r="S881" s="49"/>
      <c r="T881" s="15"/>
      <c r="U881" s="15"/>
      <c r="V881" s="15"/>
      <c r="W881" s="15"/>
    </row>
    <row r="882" spans="2:23" ht="14" customHeight="1" x14ac:dyDescent="0.25">
      <c r="J882" s="27"/>
      <c r="O882" s="15"/>
      <c r="P882" s="15"/>
      <c r="Q882" s="15"/>
      <c r="R882" s="15"/>
      <c r="S882" s="49"/>
      <c r="T882" s="15"/>
      <c r="U882" s="15"/>
      <c r="V882" s="15"/>
      <c r="W882" s="15"/>
    </row>
    <row r="883" spans="2:23" ht="14" customHeight="1" x14ac:dyDescent="0.25">
      <c r="K883" s="27"/>
      <c r="O883" s="15"/>
      <c r="P883" s="15"/>
      <c r="Q883" s="15"/>
      <c r="R883" s="15"/>
      <c r="S883" s="49"/>
      <c r="T883" s="15"/>
      <c r="U883" s="15"/>
      <c r="V883" s="15"/>
      <c r="W883" s="15"/>
    </row>
    <row r="884" spans="2:23" ht="14" customHeight="1" x14ac:dyDescent="0.25">
      <c r="B884" s="15" t="s">
        <v>546</v>
      </c>
      <c r="I884" s="15" t="s">
        <v>547</v>
      </c>
      <c r="O884" s="15"/>
      <c r="P884" s="25"/>
      <c r="Q884" s="27"/>
      <c r="R884" s="25"/>
      <c r="T884" s="15"/>
      <c r="U884" s="25"/>
      <c r="V884" s="27"/>
      <c r="W884" s="25"/>
    </row>
    <row r="885" spans="2:23" ht="14" customHeight="1" x14ac:dyDescent="0.25">
      <c r="B885" s="21" t="s">
        <v>334</v>
      </c>
      <c r="C885" s="21" t="s">
        <v>335</v>
      </c>
      <c r="D885" s="9" t="s">
        <v>436</v>
      </c>
      <c r="E885" s="21" t="s">
        <v>337</v>
      </c>
      <c r="F885" s="21"/>
      <c r="G885" s="21"/>
      <c r="I885" s="21" t="s">
        <v>334</v>
      </c>
      <c r="J885" s="21" t="s">
        <v>335</v>
      </c>
      <c r="K885" s="9" t="s">
        <v>437</v>
      </c>
      <c r="L885" s="21" t="s">
        <v>337</v>
      </c>
      <c r="O885" s="15"/>
      <c r="P885" s="25"/>
      <c r="Q885" s="27"/>
      <c r="R885" s="25"/>
      <c r="T885" s="15"/>
      <c r="U885" s="25"/>
      <c r="V885" s="27"/>
      <c r="W885" s="25"/>
    </row>
    <row r="886" spans="2:23" ht="14" customHeight="1" x14ac:dyDescent="0.25">
      <c r="B886" s="21">
        <v>1</v>
      </c>
      <c r="C886" s="21" t="s">
        <v>68</v>
      </c>
      <c r="D886" s="50">
        <v>17.350000000000001</v>
      </c>
      <c r="E886" s="16">
        <v>0.50639999999999996</v>
      </c>
      <c r="F886" s="16"/>
      <c r="G886" s="16"/>
      <c r="I886" s="21">
        <v>1</v>
      </c>
      <c r="J886" s="21" t="s">
        <v>68</v>
      </c>
      <c r="K886" s="57">
        <v>124.13</v>
      </c>
      <c r="L886" s="56">
        <v>0.48020000000000002</v>
      </c>
      <c r="O886" s="15"/>
      <c r="P886" s="25"/>
      <c r="Q886" s="27"/>
      <c r="R886" s="25"/>
      <c r="T886" s="15"/>
      <c r="U886" s="25"/>
      <c r="V886" s="27"/>
      <c r="W886" s="25"/>
    </row>
    <row r="887" spans="2:23" ht="14" customHeight="1" x14ac:dyDescent="0.25">
      <c r="B887" s="21">
        <v>2</v>
      </c>
      <c r="C887" s="21" t="s">
        <v>69</v>
      </c>
      <c r="D887" s="50">
        <v>8.94</v>
      </c>
      <c r="E887" s="16">
        <v>0.26090000000000002</v>
      </c>
      <c r="F887" s="16"/>
      <c r="G887" s="16"/>
      <c r="I887" s="21">
        <v>2</v>
      </c>
      <c r="J887" s="21" t="s">
        <v>69</v>
      </c>
      <c r="K887" s="57">
        <v>59.74</v>
      </c>
      <c r="L887" s="56">
        <v>0.2311</v>
      </c>
      <c r="O887" s="15"/>
      <c r="P887" s="25"/>
      <c r="Q887" s="27"/>
      <c r="R887" s="25"/>
      <c r="T887" s="15"/>
      <c r="U887" s="25"/>
      <c r="V887" s="27"/>
      <c r="W887" s="25"/>
    </row>
    <row r="888" spans="2:23" ht="14" customHeight="1" x14ac:dyDescent="0.25">
      <c r="B888" s="21">
        <v>3</v>
      </c>
      <c r="C888" s="21" t="s">
        <v>71</v>
      </c>
      <c r="D888" s="50">
        <v>2</v>
      </c>
      <c r="E888" s="16">
        <v>5.8200000000000002E-2</v>
      </c>
      <c r="F888" s="16"/>
      <c r="G888" s="16"/>
      <c r="I888" s="21">
        <v>3</v>
      </c>
      <c r="J888" s="21" t="s">
        <v>71</v>
      </c>
      <c r="K888" s="57">
        <v>17.39</v>
      </c>
      <c r="L888" s="56">
        <v>6.7299999999999999E-2</v>
      </c>
      <c r="O888" s="25"/>
      <c r="P888" s="15"/>
      <c r="Q888" s="15"/>
      <c r="R888" s="15"/>
      <c r="S888" s="15"/>
      <c r="T888" s="15"/>
      <c r="U888" s="15"/>
      <c r="V888" s="15"/>
      <c r="W888" s="15"/>
    </row>
    <row r="889" spans="2:23" ht="14" customHeight="1" x14ac:dyDescent="0.25">
      <c r="B889" s="21">
        <v>4</v>
      </c>
      <c r="C889" s="21" t="s">
        <v>70</v>
      </c>
      <c r="D889" s="50">
        <v>1.28</v>
      </c>
      <c r="E889" s="16">
        <v>3.73E-2</v>
      </c>
      <c r="F889" s="16"/>
      <c r="G889" s="16"/>
      <c r="I889" s="21">
        <v>4</v>
      </c>
      <c r="J889" s="21" t="s">
        <v>70</v>
      </c>
      <c r="K889" s="57">
        <v>12.01</v>
      </c>
      <c r="L889" s="56">
        <v>4.65E-2</v>
      </c>
      <c r="M889" s="49"/>
      <c r="N889" s="49"/>
      <c r="O889" s="21"/>
      <c r="P889" s="21"/>
      <c r="Q889" s="9"/>
      <c r="R889" s="21"/>
      <c r="S889" s="49"/>
      <c r="T889" s="15"/>
      <c r="U889" s="15"/>
      <c r="V889" s="15"/>
      <c r="W889" s="15"/>
    </row>
    <row r="890" spans="2:23" ht="14" customHeight="1" x14ac:dyDescent="0.25">
      <c r="B890" s="21">
        <v>5</v>
      </c>
      <c r="C890" s="21" t="s">
        <v>129</v>
      </c>
      <c r="D890" s="50">
        <v>0.83</v>
      </c>
      <c r="E890" s="16">
        <v>2.4299999999999999E-2</v>
      </c>
      <c r="F890" s="16"/>
      <c r="G890" s="16"/>
      <c r="I890" s="21">
        <v>5</v>
      </c>
      <c r="J890" s="21" t="s">
        <v>129</v>
      </c>
      <c r="K890" s="57">
        <v>6.33</v>
      </c>
      <c r="L890" s="56">
        <v>2.4500000000000001E-2</v>
      </c>
      <c r="O890" s="15"/>
      <c r="P890" s="15"/>
      <c r="Q890" s="15"/>
      <c r="R890" s="15"/>
      <c r="S890" s="49"/>
      <c r="T890" s="15"/>
      <c r="U890" s="15"/>
      <c r="V890" s="15"/>
      <c r="W890" s="15"/>
    </row>
    <row r="891" spans="2:23" ht="14" customHeight="1" x14ac:dyDescent="0.25">
      <c r="B891" s="21">
        <v>6</v>
      </c>
      <c r="C891" s="21" t="s">
        <v>73</v>
      </c>
      <c r="D891" s="50">
        <v>0.81</v>
      </c>
      <c r="E891" s="16">
        <v>2.35E-2</v>
      </c>
      <c r="F891" s="16"/>
      <c r="G891" s="16"/>
      <c r="I891" s="21">
        <v>6</v>
      </c>
      <c r="J891" s="21" t="s">
        <v>73</v>
      </c>
      <c r="K891" s="57">
        <v>5.91</v>
      </c>
      <c r="L891" s="56">
        <v>2.29E-2</v>
      </c>
      <c r="O891" s="15"/>
      <c r="P891" s="15"/>
      <c r="Q891" s="15"/>
      <c r="R891" s="15"/>
      <c r="S891" s="49"/>
      <c r="T891" s="15"/>
      <c r="U891" s="15"/>
      <c r="V891" s="15"/>
      <c r="W891" s="15"/>
    </row>
    <row r="892" spans="2:23" ht="14" customHeight="1" x14ac:dyDescent="0.25">
      <c r="B892" s="21">
        <v>7</v>
      </c>
      <c r="C892" s="21" t="s">
        <v>74</v>
      </c>
      <c r="D892" s="50">
        <v>0.59</v>
      </c>
      <c r="E892" s="16">
        <v>1.7299999999999999E-2</v>
      </c>
      <c r="F892" s="16"/>
      <c r="G892" s="16"/>
      <c r="I892" s="21">
        <v>7</v>
      </c>
      <c r="J892" s="21" t="s">
        <v>74</v>
      </c>
      <c r="K892" s="57">
        <v>5.64</v>
      </c>
      <c r="L892" s="56">
        <v>2.18E-2</v>
      </c>
      <c r="O892" s="15"/>
      <c r="P892" s="15"/>
      <c r="Q892" s="15"/>
      <c r="R892" s="15"/>
      <c r="S892" s="49"/>
      <c r="T892" s="15"/>
      <c r="U892" s="15"/>
      <c r="V892" s="15"/>
      <c r="W892" s="15"/>
    </row>
    <row r="893" spans="2:23" ht="14" customHeight="1" x14ac:dyDescent="0.25">
      <c r="B893" s="21">
        <v>8</v>
      </c>
      <c r="C893" s="21" t="s">
        <v>548</v>
      </c>
      <c r="D893" s="50">
        <v>0.42</v>
      </c>
      <c r="E893" s="16">
        <v>1.2200000000000001E-2</v>
      </c>
      <c r="F893" s="16"/>
      <c r="G893" s="16"/>
      <c r="I893" s="21">
        <v>8</v>
      </c>
      <c r="J893" s="21" t="s">
        <v>127</v>
      </c>
      <c r="K893" s="57">
        <v>4.95</v>
      </c>
      <c r="L893" s="56">
        <v>1.9099999999999999E-2</v>
      </c>
      <c r="O893" s="15"/>
      <c r="P893" s="15"/>
      <c r="Q893" s="15"/>
      <c r="R893" s="15"/>
      <c r="S893" s="49"/>
      <c r="T893" s="15"/>
      <c r="U893" s="15"/>
      <c r="V893" s="15"/>
      <c r="W893" s="15"/>
    </row>
    <row r="894" spans="2:23" ht="14" customHeight="1" x14ac:dyDescent="0.25">
      <c r="B894" s="21">
        <v>9</v>
      </c>
      <c r="C894" s="21" t="s">
        <v>357</v>
      </c>
      <c r="D894" s="50">
        <v>0.39</v>
      </c>
      <c r="E894" s="16">
        <v>1.1299999999999999E-2</v>
      </c>
      <c r="F894" s="16"/>
      <c r="G894" s="16"/>
      <c r="I894" s="21">
        <v>9</v>
      </c>
      <c r="J894" s="21" t="s">
        <v>357</v>
      </c>
      <c r="K894" s="57">
        <v>4.58</v>
      </c>
      <c r="L894" s="56">
        <v>1.77E-2</v>
      </c>
      <c r="O894" s="15"/>
      <c r="P894" s="15"/>
      <c r="Q894" s="15"/>
      <c r="R894" s="15"/>
      <c r="S894" s="49"/>
      <c r="T894" s="15"/>
      <c r="U894" s="15"/>
      <c r="V894" s="15"/>
      <c r="W894" s="15"/>
    </row>
    <row r="895" spans="2:23" ht="14" customHeight="1" x14ac:dyDescent="0.25">
      <c r="B895" s="21">
        <v>10</v>
      </c>
      <c r="C895" s="21" t="s">
        <v>509</v>
      </c>
      <c r="D895" s="50">
        <v>0.28000000000000003</v>
      </c>
      <c r="E895" s="16">
        <v>8.2000000000000007E-3</v>
      </c>
      <c r="F895" s="16"/>
      <c r="G895" s="16"/>
      <c r="I895" s="21">
        <v>10</v>
      </c>
      <c r="J895" s="21" t="s">
        <v>322</v>
      </c>
      <c r="K895" s="57">
        <v>4.04</v>
      </c>
      <c r="L895" s="56">
        <v>1.5599999999999999E-2</v>
      </c>
      <c r="O895" s="15"/>
      <c r="P895" s="15"/>
      <c r="Q895" s="15"/>
      <c r="R895" s="15"/>
      <c r="S895" s="49"/>
      <c r="T895" s="15"/>
      <c r="U895" s="15"/>
      <c r="V895" s="15"/>
      <c r="W895" s="15"/>
    </row>
    <row r="896" spans="2:23" ht="14" customHeight="1" x14ac:dyDescent="0.25">
      <c r="B896" s="21">
        <v>11</v>
      </c>
      <c r="C896" s="21" t="s">
        <v>127</v>
      </c>
      <c r="D896" s="50">
        <v>0.24</v>
      </c>
      <c r="E896" s="65">
        <v>7.1000000000000004E-3</v>
      </c>
      <c r="F896" s="65"/>
      <c r="G896" s="65"/>
      <c r="I896" s="21">
        <v>11</v>
      </c>
      <c r="J896" s="21" t="s">
        <v>509</v>
      </c>
      <c r="K896" s="57">
        <v>2.29</v>
      </c>
      <c r="L896" s="65">
        <v>8.8999999999999999E-3</v>
      </c>
      <c r="O896" s="15"/>
      <c r="P896" s="15"/>
      <c r="Q896" s="15"/>
      <c r="R896" s="15"/>
      <c r="S896" s="49"/>
      <c r="T896" s="15"/>
      <c r="U896" s="15"/>
      <c r="V896" s="15"/>
      <c r="W896" s="15"/>
    </row>
    <row r="897" spans="2:23" ht="14" customHeight="1" x14ac:dyDescent="0.25">
      <c r="B897" s="21">
        <v>12</v>
      </c>
      <c r="C897" s="21" t="s">
        <v>426</v>
      </c>
      <c r="D897" s="50">
        <v>0.22</v>
      </c>
      <c r="E897" s="65">
        <v>6.4000000000000003E-3</v>
      </c>
      <c r="F897" s="65"/>
      <c r="G897" s="65"/>
      <c r="I897" s="21">
        <v>12</v>
      </c>
      <c r="J897" s="21" t="s">
        <v>549</v>
      </c>
      <c r="K897" s="57">
        <v>2.27</v>
      </c>
      <c r="L897" s="65">
        <v>8.8000000000000005E-3</v>
      </c>
      <c r="O897" s="15"/>
      <c r="P897" s="15"/>
      <c r="Q897" s="15"/>
      <c r="R897" s="15"/>
      <c r="S897" s="49"/>
      <c r="T897" s="15"/>
      <c r="U897" s="15"/>
      <c r="V897" s="15"/>
      <c r="W897" s="15"/>
    </row>
    <row r="898" spans="2:23" ht="14" customHeight="1" x14ac:dyDescent="0.25">
      <c r="B898" s="21">
        <v>13</v>
      </c>
      <c r="C898" s="21" t="s">
        <v>549</v>
      </c>
      <c r="D898" s="50">
        <v>0.18</v>
      </c>
      <c r="E898" s="65">
        <v>5.4000000000000003E-3</v>
      </c>
      <c r="F898" s="65"/>
      <c r="G898" s="65"/>
      <c r="I898" s="21">
        <v>13</v>
      </c>
      <c r="J898" s="21" t="s">
        <v>326</v>
      </c>
      <c r="K898" s="57">
        <v>1.69</v>
      </c>
      <c r="L898" s="65">
        <v>6.4999999999999997E-3</v>
      </c>
      <c r="O898" s="15"/>
      <c r="P898" s="15"/>
      <c r="Q898" s="15"/>
      <c r="R898" s="15"/>
      <c r="S898" s="49"/>
      <c r="T898" s="15"/>
      <c r="U898" s="15"/>
      <c r="V898" s="15"/>
      <c r="W898" s="15"/>
    </row>
    <row r="899" spans="2:23" ht="14" customHeight="1" x14ac:dyDescent="0.25">
      <c r="B899" s="21">
        <v>14</v>
      </c>
      <c r="C899" s="21" t="s">
        <v>485</v>
      </c>
      <c r="D899" s="50">
        <v>0.13</v>
      </c>
      <c r="E899" s="65">
        <v>3.7000000000000002E-3</v>
      </c>
      <c r="F899" s="65"/>
      <c r="G899" s="65"/>
      <c r="I899" s="21">
        <v>14</v>
      </c>
      <c r="J899" s="21" t="s">
        <v>426</v>
      </c>
      <c r="K899" s="57">
        <v>1.35</v>
      </c>
      <c r="L899" s="65">
        <v>5.1999999999999998E-3</v>
      </c>
      <c r="O899" s="15"/>
      <c r="P899" s="15"/>
      <c r="Q899" s="15"/>
      <c r="R899" s="15"/>
      <c r="S899" s="49"/>
      <c r="T899" s="15"/>
      <c r="U899" s="15"/>
      <c r="V899" s="15"/>
      <c r="W899" s="15"/>
    </row>
    <row r="900" spans="2:23" ht="14" customHeight="1" x14ac:dyDescent="0.25">
      <c r="B900" s="21">
        <v>15</v>
      </c>
      <c r="C900" s="21" t="s">
        <v>550</v>
      </c>
      <c r="D900" s="50">
        <v>0.11</v>
      </c>
      <c r="E900" s="65">
        <v>3.2000000000000002E-3</v>
      </c>
      <c r="F900" s="65"/>
      <c r="G900" s="65"/>
      <c r="I900" s="21">
        <v>15</v>
      </c>
      <c r="J900" s="21" t="s">
        <v>485</v>
      </c>
      <c r="K900" s="57">
        <v>1.19</v>
      </c>
      <c r="L900" s="65">
        <v>4.5999999999999999E-3</v>
      </c>
      <c r="O900" s="15"/>
      <c r="P900" s="15"/>
      <c r="Q900" s="15"/>
      <c r="R900" s="15"/>
      <c r="S900" s="49"/>
      <c r="T900" s="15"/>
      <c r="U900" s="15"/>
      <c r="V900" s="15"/>
      <c r="W900" s="15"/>
    </row>
    <row r="901" spans="2:23" ht="14" customHeight="1" x14ac:dyDescent="0.25">
      <c r="K901" s="27"/>
      <c r="O901" s="15"/>
      <c r="P901" s="15"/>
      <c r="Q901" s="15"/>
      <c r="R901" s="15"/>
      <c r="S901" s="49"/>
      <c r="T901" s="15"/>
      <c r="U901" s="15"/>
      <c r="V901" s="15"/>
      <c r="W901" s="15"/>
    </row>
    <row r="902" spans="2:23" ht="14" customHeight="1" x14ac:dyDescent="0.25">
      <c r="K902" s="27"/>
      <c r="O902" s="15"/>
      <c r="P902" s="15"/>
      <c r="Q902" s="15"/>
      <c r="R902" s="15"/>
      <c r="S902" s="49"/>
      <c r="T902" s="15"/>
      <c r="U902" s="15"/>
      <c r="V902" s="15"/>
      <c r="W902" s="15"/>
    </row>
    <row r="903" spans="2:23" ht="14" customHeight="1" x14ac:dyDescent="0.25">
      <c r="K903" s="27"/>
      <c r="O903" s="15"/>
      <c r="P903" s="15"/>
      <c r="Q903" s="15"/>
      <c r="R903" s="15"/>
      <c r="S903" s="49"/>
      <c r="T903" s="15"/>
      <c r="U903" s="15"/>
      <c r="V903" s="15"/>
      <c r="W903" s="15"/>
    </row>
    <row r="904" spans="2:23" ht="14" customHeight="1" x14ac:dyDescent="0.25">
      <c r="K904" s="27"/>
      <c r="O904" s="15"/>
      <c r="P904" s="15"/>
      <c r="Q904" s="15"/>
      <c r="R904" s="15"/>
      <c r="S904" s="49"/>
      <c r="T904" s="15"/>
      <c r="U904" s="15"/>
      <c r="V904" s="15"/>
      <c r="W904" s="15"/>
    </row>
    <row r="905" spans="2:23" ht="14" customHeight="1" x14ac:dyDescent="0.25">
      <c r="B905" s="15" t="s">
        <v>551</v>
      </c>
      <c r="I905" s="15" t="s">
        <v>552</v>
      </c>
      <c r="O905" s="15"/>
      <c r="P905" s="15"/>
      <c r="Q905" s="15"/>
      <c r="R905" s="15"/>
      <c r="S905" s="49"/>
      <c r="T905" s="15"/>
      <c r="U905" s="15"/>
      <c r="V905" s="15"/>
      <c r="W905" s="15"/>
    </row>
    <row r="906" spans="2:23" ht="14" customHeight="1" x14ac:dyDescent="0.25">
      <c r="B906" s="21" t="s">
        <v>334</v>
      </c>
      <c r="C906" s="21" t="s">
        <v>335</v>
      </c>
      <c r="D906" s="9" t="s">
        <v>436</v>
      </c>
      <c r="E906" s="21" t="s">
        <v>337</v>
      </c>
      <c r="F906" s="21"/>
      <c r="G906" s="21"/>
      <c r="I906" s="21" t="s">
        <v>334</v>
      </c>
      <c r="J906" s="21" t="s">
        <v>335</v>
      </c>
      <c r="K906" s="9" t="s">
        <v>437</v>
      </c>
      <c r="L906" s="21" t="s">
        <v>337</v>
      </c>
      <c r="O906" s="15"/>
      <c r="P906" s="15"/>
      <c r="Q906" s="15"/>
      <c r="R906" s="15"/>
      <c r="S906" s="49"/>
      <c r="T906" s="15"/>
      <c r="U906" s="15"/>
      <c r="V906" s="15"/>
      <c r="W906" s="15"/>
    </row>
    <row r="907" spans="2:23" ht="14" customHeight="1" x14ac:dyDescent="0.25">
      <c r="B907" s="21">
        <v>1</v>
      </c>
      <c r="C907" s="21" t="s">
        <v>68</v>
      </c>
      <c r="D907" s="50">
        <v>14.76</v>
      </c>
      <c r="E907" s="65">
        <v>0.48330000000000001</v>
      </c>
      <c r="F907" s="65"/>
      <c r="G907" s="65"/>
      <c r="I907" s="21">
        <v>1</v>
      </c>
      <c r="J907" s="21" t="s">
        <v>68</v>
      </c>
      <c r="K907" s="57">
        <v>106.78</v>
      </c>
      <c r="L907" s="65">
        <v>0.47620000000000001</v>
      </c>
      <c r="O907" s="15"/>
      <c r="P907" s="25"/>
      <c r="Q907" s="27"/>
      <c r="R907" s="25"/>
      <c r="T907" s="15"/>
      <c r="U907" s="25"/>
      <c r="V907" s="27"/>
      <c r="W907" s="25"/>
    </row>
    <row r="908" spans="2:23" ht="14" customHeight="1" x14ac:dyDescent="0.25">
      <c r="B908" s="21">
        <v>2</v>
      </c>
      <c r="C908" s="21" t="s">
        <v>69</v>
      </c>
      <c r="D908" s="50">
        <v>7.74</v>
      </c>
      <c r="E908" s="65">
        <v>0.25359999999999999</v>
      </c>
      <c r="F908" s="65"/>
      <c r="G908" s="65"/>
      <c r="I908" s="21">
        <v>2</v>
      </c>
      <c r="J908" s="21" t="s">
        <v>69</v>
      </c>
      <c r="K908" s="57">
        <v>50.8</v>
      </c>
      <c r="L908" s="65">
        <v>0.2266</v>
      </c>
      <c r="O908" s="25"/>
      <c r="P908" s="15"/>
      <c r="Q908" s="15"/>
      <c r="R908" s="15"/>
      <c r="S908" s="15"/>
      <c r="T908" s="15"/>
      <c r="U908" s="15"/>
      <c r="V908" s="15"/>
      <c r="W908" s="15"/>
    </row>
    <row r="909" spans="2:23" ht="14" customHeight="1" x14ac:dyDescent="0.25">
      <c r="B909" s="21">
        <v>3</v>
      </c>
      <c r="C909" s="21" t="s">
        <v>71</v>
      </c>
      <c r="D909" s="50">
        <v>2.06</v>
      </c>
      <c r="E909" s="65">
        <v>6.7599999999999993E-2</v>
      </c>
      <c r="F909" s="65"/>
      <c r="G909" s="65"/>
      <c r="I909" s="21">
        <v>3</v>
      </c>
      <c r="J909" s="21" t="s">
        <v>71</v>
      </c>
      <c r="K909" s="57">
        <v>15.39</v>
      </c>
      <c r="L909" s="65">
        <v>6.8599999999999994E-2</v>
      </c>
      <c r="M909" s="49"/>
      <c r="N909" s="49"/>
      <c r="O909" s="21"/>
      <c r="P909" s="21"/>
      <c r="Q909" s="9"/>
      <c r="R909" s="21"/>
      <c r="S909" s="49"/>
      <c r="T909" s="15"/>
      <c r="U909" s="15"/>
      <c r="V909" s="15"/>
      <c r="W909" s="15"/>
    </row>
    <row r="910" spans="2:23" ht="14" customHeight="1" x14ac:dyDescent="0.25">
      <c r="B910" s="21">
        <v>4</v>
      </c>
      <c r="C910" s="21" t="s">
        <v>70</v>
      </c>
      <c r="D910" s="50">
        <v>1.38</v>
      </c>
      <c r="E910" s="65">
        <v>4.5199999999999997E-2</v>
      </c>
      <c r="F910" s="65"/>
      <c r="G910" s="65"/>
      <c r="I910" s="21">
        <v>4</v>
      </c>
      <c r="J910" s="21" t="s">
        <v>70</v>
      </c>
      <c r="K910" s="57">
        <v>10.73</v>
      </c>
      <c r="L910" s="65">
        <v>4.7899999999999998E-2</v>
      </c>
      <c r="O910" s="15"/>
      <c r="P910" s="15"/>
      <c r="Q910" s="15"/>
      <c r="R910" s="15"/>
      <c r="S910" s="49"/>
      <c r="T910" s="15"/>
      <c r="U910" s="15"/>
      <c r="V910" s="15"/>
      <c r="W910" s="15"/>
    </row>
    <row r="911" spans="2:23" ht="14" customHeight="1" x14ac:dyDescent="0.25">
      <c r="B911" s="21">
        <v>5</v>
      </c>
      <c r="C911" s="21" t="s">
        <v>73</v>
      </c>
      <c r="D911" s="50">
        <v>0.68</v>
      </c>
      <c r="E911" s="65">
        <v>2.23E-2</v>
      </c>
      <c r="F911" s="65"/>
      <c r="G911" s="65"/>
      <c r="I911" s="21">
        <v>5</v>
      </c>
      <c r="J911" s="21" t="s">
        <v>129</v>
      </c>
      <c r="K911" s="57">
        <v>5.5</v>
      </c>
      <c r="L911" s="65">
        <v>2.4500000000000001E-2</v>
      </c>
      <c r="O911" s="15"/>
      <c r="P911" s="15"/>
      <c r="Q911" s="15"/>
      <c r="R911" s="15"/>
      <c r="S911" s="49"/>
      <c r="T911" s="15"/>
      <c r="U911" s="15"/>
      <c r="V911" s="15"/>
      <c r="W911" s="15"/>
    </row>
    <row r="912" spans="2:23" ht="14" customHeight="1" x14ac:dyDescent="0.25">
      <c r="B912" s="21">
        <v>6</v>
      </c>
      <c r="C912" s="21" t="s">
        <v>129</v>
      </c>
      <c r="D912" s="50">
        <v>0.66</v>
      </c>
      <c r="E912" s="65">
        <v>2.1700000000000001E-2</v>
      </c>
      <c r="F912" s="65"/>
      <c r="G912" s="65"/>
      <c r="I912" s="21">
        <v>6</v>
      </c>
      <c r="J912" s="21" t="s">
        <v>73</v>
      </c>
      <c r="K912" s="57">
        <v>5.0999999999999996</v>
      </c>
      <c r="L912" s="65">
        <v>2.2800000000000001E-2</v>
      </c>
      <c r="O912" s="15"/>
      <c r="P912" s="15"/>
      <c r="Q912" s="15"/>
      <c r="R912" s="15"/>
      <c r="S912" s="49"/>
      <c r="T912" s="15"/>
      <c r="U912" s="15"/>
      <c r="V912" s="15"/>
      <c r="W912" s="15"/>
    </row>
    <row r="913" spans="2:23" ht="14" customHeight="1" x14ac:dyDescent="0.25">
      <c r="B913" s="21">
        <v>7</v>
      </c>
      <c r="C913" s="21" t="s">
        <v>74</v>
      </c>
      <c r="D913" s="50">
        <v>0.53</v>
      </c>
      <c r="E913" s="65">
        <v>1.7299999999999999E-2</v>
      </c>
      <c r="F913" s="65"/>
      <c r="G913" s="65"/>
      <c r="I913" s="21">
        <v>7</v>
      </c>
      <c r="J913" s="21" t="s">
        <v>74</v>
      </c>
      <c r="K913" s="57">
        <v>5.05</v>
      </c>
      <c r="L913" s="65">
        <v>2.2499999999999999E-2</v>
      </c>
      <c r="O913" s="15"/>
      <c r="P913" s="15"/>
      <c r="Q913" s="15"/>
      <c r="R913" s="15"/>
      <c r="S913" s="49"/>
      <c r="T913" s="15"/>
      <c r="U913" s="15"/>
      <c r="V913" s="15"/>
      <c r="W913" s="15"/>
    </row>
    <row r="914" spans="2:23" ht="14" customHeight="1" x14ac:dyDescent="0.25">
      <c r="B914" s="21">
        <v>8</v>
      </c>
      <c r="C914" s="21" t="s">
        <v>357</v>
      </c>
      <c r="D914" s="50">
        <v>0.51</v>
      </c>
      <c r="E914" s="65">
        <v>1.6799999999999999E-2</v>
      </c>
      <c r="F914" s="65"/>
      <c r="G914" s="65"/>
      <c r="I914" s="21">
        <v>8</v>
      </c>
      <c r="J914" s="21" t="s">
        <v>127</v>
      </c>
      <c r="K914" s="57">
        <v>4.71</v>
      </c>
      <c r="L914" s="65">
        <v>2.1000000000000001E-2</v>
      </c>
      <c r="O914" s="15"/>
      <c r="P914" s="15"/>
      <c r="Q914" s="15"/>
      <c r="R914" s="15"/>
      <c r="S914" s="49"/>
      <c r="T914" s="15"/>
      <c r="U914" s="15"/>
      <c r="V914" s="15"/>
      <c r="W914" s="15"/>
    </row>
    <row r="915" spans="2:23" ht="14" customHeight="1" x14ac:dyDescent="0.25">
      <c r="B915" s="21">
        <v>9</v>
      </c>
      <c r="C915" s="21" t="s">
        <v>548</v>
      </c>
      <c r="D915" s="50">
        <v>0.47</v>
      </c>
      <c r="E915" s="65">
        <v>1.55E-2</v>
      </c>
      <c r="F915" s="65"/>
      <c r="G915" s="65"/>
      <c r="I915" s="21">
        <v>9</v>
      </c>
      <c r="J915" s="21" t="s">
        <v>357</v>
      </c>
      <c r="K915" s="57">
        <v>4.1900000000000004</v>
      </c>
      <c r="L915" s="65">
        <v>1.8700000000000001E-2</v>
      </c>
      <c r="O915" s="15"/>
      <c r="P915" s="15"/>
      <c r="Q915" s="15"/>
      <c r="R915" s="15"/>
      <c r="S915" s="49"/>
      <c r="T915" s="15"/>
      <c r="U915" s="15"/>
      <c r="V915" s="15"/>
      <c r="W915" s="15"/>
    </row>
    <row r="916" spans="2:23" ht="14" customHeight="1" x14ac:dyDescent="0.25">
      <c r="B916" s="21">
        <v>10</v>
      </c>
      <c r="C916" s="21" t="s">
        <v>553</v>
      </c>
      <c r="D916" s="50">
        <v>0.31</v>
      </c>
      <c r="E916" s="65">
        <v>1.0200000000000001E-2</v>
      </c>
      <c r="F916" s="65"/>
      <c r="G916" s="65"/>
      <c r="I916" s="21">
        <v>10</v>
      </c>
      <c r="J916" s="21" t="s">
        <v>322</v>
      </c>
      <c r="K916" s="57">
        <v>3.62</v>
      </c>
      <c r="L916" s="65">
        <v>1.6199999999999999E-2</v>
      </c>
      <c r="O916" s="15"/>
      <c r="P916" s="15"/>
      <c r="Q916" s="15"/>
      <c r="R916" s="15"/>
      <c r="S916" s="49"/>
      <c r="T916" s="15"/>
      <c r="U916" s="15"/>
      <c r="V916" s="15"/>
      <c r="W916" s="15"/>
    </row>
    <row r="917" spans="2:23" ht="14" customHeight="1" x14ac:dyDescent="0.25">
      <c r="B917" s="21">
        <v>11</v>
      </c>
      <c r="C917" s="21" t="s">
        <v>554</v>
      </c>
      <c r="D917" s="50">
        <v>0.25</v>
      </c>
      <c r="E917" s="65">
        <v>8.2000000000000007E-3</v>
      </c>
      <c r="F917" s="65"/>
      <c r="G917" s="65"/>
      <c r="I917" s="21">
        <v>11</v>
      </c>
      <c r="J917" s="21" t="s">
        <v>549</v>
      </c>
      <c r="K917" s="57">
        <v>2.08</v>
      </c>
      <c r="L917" s="65">
        <v>9.2999999999999992E-3</v>
      </c>
      <c r="O917" s="15"/>
      <c r="P917" s="15"/>
      <c r="Q917" s="15"/>
      <c r="R917" s="15"/>
      <c r="S917" s="49"/>
      <c r="T917" s="15"/>
      <c r="U917" s="15"/>
      <c r="V917" s="15"/>
      <c r="W917" s="15"/>
    </row>
    <row r="918" spans="2:23" ht="14" customHeight="1" x14ac:dyDescent="0.25">
      <c r="B918" s="21">
        <v>12</v>
      </c>
      <c r="C918" s="21" t="s">
        <v>509</v>
      </c>
      <c r="D918" s="50">
        <v>0.2</v>
      </c>
      <c r="E918" s="65">
        <v>6.6E-3</v>
      </c>
      <c r="F918" s="65"/>
      <c r="G918" s="65"/>
      <c r="I918" s="21">
        <v>12</v>
      </c>
      <c r="J918" s="21" t="s">
        <v>509</v>
      </c>
      <c r="K918" s="57">
        <v>2.0099999999999998</v>
      </c>
      <c r="L918" s="65">
        <v>8.9999999999999993E-3</v>
      </c>
      <c r="O918" s="15"/>
      <c r="P918" s="15"/>
      <c r="Q918" s="15"/>
      <c r="R918" s="15"/>
      <c r="S918" s="49"/>
      <c r="T918" s="15"/>
      <c r="U918" s="15"/>
      <c r="V918" s="15"/>
      <c r="W918" s="15"/>
    </row>
    <row r="919" spans="2:23" ht="14" customHeight="1" x14ac:dyDescent="0.25">
      <c r="B919" s="21">
        <v>13</v>
      </c>
      <c r="C919" s="21" t="s">
        <v>127</v>
      </c>
      <c r="D919" s="50">
        <v>0.19</v>
      </c>
      <c r="E919" s="65">
        <v>6.1999999999999998E-3</v>
      </c>
      <c r="F919" s="65"/>
      <c r="G919" s="65"/>
      <c r="I919" s="21">
        <v>13</v>
      </c>
      <c r="J919" s="21" t="s">
        <v>326</v>
      </c>
      <c r="K919" s="57">
        <v>1.61</v>
      </c>
      <c r="L919" s="65">
        <v>7.1999999999999998E-3</v>
      </c>
      <c r="O919" s="15"/>
      <c r="P919" s="15"/>
      <c r="Q919" s="15"/>
      <c r="R919" s="15"/>
      <c r="S919" s="49"/>
      <c r="T919" s="15"/>
      <c r="U919" s="15"/>
      <c r="V919" s="15"/>
      <c r="W919" s="15"/>
    </row>
    <row r="920" spans="2:23" ht="14" customHeight="1" x14ac:dyDescent="0.25">
      <c r="B920" s="21">
        <v>14</v>
      </c>
      <c r="C920" s="21" t="s">
        <v>426</v>
      </c>
      <c r="D920" s="50">
        <v>0.16</v>
      </c>
      <c r="E920" s="65">
        <v>5.1999999999999998E-3</v>
      </c>
      <c r="F920" s="65"/>
      <c r="G920" s="65"/>
      <c r="I920" s="21">
        <v>14</v>
      </c>
      <c r="J920" s="21" t="s">
        <v>426</v>
      </c>
      <c r="K920" s="57">
        <v>1.1299999999999999</v>
      </c>
      <c r="L920" s="65">
        <v>5.0000000000000001E-3</v>
      </c>
      <c r="O920" s="15"/>
      <c r="P920" s="15"/>
      <c r="Q920" s="15"/>
      <c r="R920" s="15"/>
      <c r="S920" s="49"/>
      <c r="T920" s="15"/>
      <c r="U920" s="15"/>
      <c r="V920" s="15"/>
      <c r="W920" s="15"/>
    </row>
    <row r="921" spans="2:23" ht="14" customHeight="1" x14ac:dyDescent="0.25">
      <c r="B921" s="21">
        <v>15</v>
      </c>
      <c r="C921" s="21" t="s">
        <v>326</v>
      </c>
      <c r="D921" s="50">
        <v>0.15</v>
      </c>
      <c r="E921" s="65">
        <v>4.7999999999999996E-3</v>
      </c>
      <c r="F921" s="65"/>
      <c r="G921" s="65"/>
      <c r="I921" s="21">
        <v>15</v>
      </c>
      <c r="J921" s="21" t="s">
        <v>485</v>
      </c>
      <c r="K921" s="57">
        <v>1.07</v>
      </c>
      <c r="L921" s="65">
        <v>4.7999999999999996E-3</v>
      </c>
      <c r="O921" s="15"/>
      <c r="P921" s="15"/>
      <c r="Q921" s="15"/>
      <c r="R921" s="15"/>
      <c r="S921" s="49"/>
      <c r="T921" s="15"/>
      <c r="U921" s="15"/>
      <c r="V921" s="15"/>
      <c r="W921" s="15"/>
    </row>
    <row r="922" spans="2:23" ht="14" customHeight="1" x14ac:dyDescent="0.25">
      <c r="B922" s="21"/>
      <c r="C922" s="21"/>
      <c r="D922" s="50"/>
      <c r="E922" s="65"/>
      <c r="F922" s="65"/>
      <c r="G922" s="65"/>
      <c r="I922" s="21"/>
      <c r="J922" s="21"/>
      <c r="K922" s="57"/>
      <c r="L922" s="65"/>
      <c r="O922" s="15"/>
      <c r="P922" s="15"/>
      <c r="Q922" s="15"/>
      <c r="R922" s="15"/>
      <c r="S922" s="49"/>
      <c r="T922" s="15"/>
      <c r="U922" s="15"/>
      <c r="V922" s="15"/>
      <c r="W922" s="15"/>
    </row>
    <row r="923" spans="2:23" ht="14" customHeight="1" x14ac:dyDescent="0.25">
      <c r="B923" s="21"/>
      <c r="C923" s="21"/>
      <c r="D923" s="50"/>
      <c r="E923" s="65"/>
      <c r="F923" s="65"/>
      <c r="G923" s="65"/>
      <c r="I923" s="21"/>
      <c r="J923" s="21"/>
      <c r="K923" s="57"/>
      <c r="L923" s="65"/>
      <c r="O923" s="15"/>
      <c r="P923" s="15"/>
      <c r="Q923" s="15"/>
      <c r="R923" s="15"/>
      <c r="S923" s="49"/>
      <c r="T923" s="15"/>
      <c r="U923" s="15"/>
      <c r="V923" s="15"/>
      <c r="W923" s="15"/>
    </row>
    <row r="924" spans="2:23" ht="14" customHeight="1" x14ac:dyDescent="0.25">
      <c r="K924" s="27"/>
      <c r="O924" s="15"/>
      <c r="P924" s="15"/>
      <c r="Q924" s="15"/>
      <c r="R924" s="15"/>
      <c r="S924" s="49"/>
      <c r="T924" s="15"/>
      <c r="U924" s="15"/>
      <c r="V924" s="15"/>
      <c r="W924" s="15"/>
    </row>
    <row r="925" spans="2:23" ht="14" customHeight="1" x14ac:dyDescent="0.25">
      <c r="B925" s="15" t="s">
        <v>555</v>
      </c>
      <c r="I925" s="15" t="s">
        <v>556</v>
      </c>
      <c r="O925" s="15"/>
      <c r="P925" s="15"/>
      <c r="Q925" s="15"/>
      <c r="R925" s="15"/>
      <c r="S925" s="15"/>
      <c r="T925" s="15"/>
      <c r="U925" s="15"/>
      <c r="V925" s="15"/>
      <c r="W925" s="15"/>
    </row>
    <row r="926" spans="2:23" ht="14" customHeight="1" x14ac:dyDescent="0.25">
      <c r="B926" s="21" t="s">
        <v>334</v>
      </c>
      <c r="C926" s="21" t="s">
        <v>335</v>
      </c>
      <c r="D926" s="9" t="s">
        <v>436</v>
      </c>
      <c r="E926" s="21" t="s">
        <v>337</v>
      </c>
      <c r="F926" s="21"/>
      <c r="G926" s="21"/>
      <c r="I926" s="21" t="s">
        <v>334</v>
      </c>
      <c r="J926" s="21" t="s">
        <v>335</v>
      </c>
      <c r="K926" s="9" t="s">
        <v>437</v>
      </c>
      <c r="L926" s="21" t="s">
        <v>337</v>
      </c>
      <c r="O926" s="15"/>
      <c r="P926" s="15"/>
      <c r="Q926" s="15"/>
      <c r="R926" s="15"/>
      <c r="S926" s="15"/>
      <c r="T926" s="15"/>
      <c r="U926" s="15"/>
      <c r="V926" s="15"/>
      <c r="W926" s="15"/>
    </row>
    <row r="927" spans="2:23" ht="14" customHeight="1" x14ac:dyDescent="0.25">
      <c r="B927" s="21">
        <v>1</v>
      </c>
      <c r="C927" s="21" t="s">
        <v>68</v>
      </c>
      <c r="D927" s="50">
        <v>15.12</v>
      </c>
      <c r="E927" s="65">
        <v>0.47799999999999998</v>
      </c>
      <c r="F927" s="65"/>
      <c r="G927" s="65"/>
      <c r="I927" s="21">
        <v>1</v>
      </c>
      <c r="J927" s="21" t="s">
        <v>68</v>
      </c>
      <c r="K927" s="21">
        <v>92.02</v>
      </c>
      <c r="L927" s="65">
        <v>0.47510000000000002</v>
      </c>
      <c r="O927" s="15"/>
      <c r="P927" s="15"/>
      <c r="Q927" s="15"/>
      <c r="R927" s="15"/>
      <c r="S927" s="15"/>
      <c r="T927" s="15"/>
      <c r="U927" s="15"/>
      <c r="V927" s="15"/>
      <c r="W927" s="15"/>
    </row>
    <row r="928" spans="2:23" ht="14" customHeight="1" x14ac:dyDescent="0.25">
      <c r="B928" s="21">
        <v>2</v>
      </c>
      <c r="C928" s="21" t="s">
        <v>69</v>
      </c>
      <c r="D928" s="50">
        <v>7.1</v>
      </c>
      <c r="E928" s="65">
        <v>0.22439999999999999</v>
      </c>
      <c r="F928" s="65"/>
      <c r="G928" s="65"/>
      <c r="I928" s="21">
        <v>2</v>
      </c>
      <c r="J928" s="21" t="s">
        <v>69</v>
      </c>
      <c r="K928" s="21">
        <v>43.06</v>
      </c>
      <c r="L928" s="65">
        <v>0.2223</v>
      </c>
      <c r="O928" s="15"/>
      <c r="P928" s="15"/>
      <c r="Q928" s="15"/>
      <c r="R928" s="15"/>
      <c r="S928" s="15"/>
      <c r="T928" s="15"/>
      <c r="U928" s="15"/>
      <c r="V928" s="15"/>
      <c r="W928" s="15"/>
    </row>
    <row r="929" spans="2:23" ht="14" customHeight="1" x14ac:dyDescent="0.25">
      <c r="B929" s="21">
        <v>3</v>
      </c>
      <c r="C929" s="21" t="s">
        <v>71</v>
      </c>
      <c r="D929" s="50">
        <v>1.95</v>
      </c>
      <c r="E929" s="65">
        <v>6.1600000000000002E-2</v>
      </c>
      <c r="F929" s="65"/>
      <c r="G929" s="65"/>
      <c r="I929" s="21">
        <v>3</v>
      </c>
      <c r="J929" s="21" t="s">
        <v>71</v>
      </c>
      <c r="K929" s="21">
        <v>13.33</v>
      </c>
      <c r="L929" s="65">
        <v>6.88E-2</v>
      </c>
      <c r="O929" s="25"/>
      <c r="P929" s="15"/>
      <c r="Q929" s="15"/>
      <c r="R929" s="15"/>
      <c r="S929" s="15"/>
      <c r="T929" s="15"/>
      <c r="U929" s="15"/>
      <c r="V929" s="15"/>
      <c r="W929" s="15"/>
    </row>
    <row r="930" spans="2:23" ht="14" customHeight="1" x14ac:dyDescent="0.25">
      <c r="B930" s="21">
        <v>4</v>
      </c>
      <c r="C930" s="21" t="s">
        <v>70</v>
      </c>
      <c r="D930" s="50">
        <v>1.37</v>
      </c>
      <c r="E930" s="65">
        <v>4.3299999999999998E-2</v>
      </c>
      <c r="F930" s="65"/>
      <c r="G930" s="65"/>
      <c r="I930" s="21">
        <v>4</v>
      </c>
      <c r="J930" s="21" t="s">
        <v>70</v>
      </c>
      <c r="K930" s="21">
        <v>9.35</v>
      </c>
      <c r="L930" s="65">
        <v>4.8300000000000003E-2</v>
      </c>
      <c r="M930" s="49"/>
      <c r="N930" s="49"/>
      <c r="O930" s="21"/>
      <c r="P930" s="21"/>
      <c r="Q930" s="9"/>
      <c r="R930" s="21"/>
      <c r="S930" s="49"/>
      <c r="T930" s="15"/>
      <c r="U930" s="15"/>
      <c r="V930" s="15"/>
      <c r="W930" s="15"/>
    </row>
    <row r="931" spans="2:23" ht="14" customHeight="1" x14ac:dyDescent="0.25">
      <c r="B931" s="21">
        <v>5</v>
      </c>
      <c r="C931" s="21" t="s">
        <v>127</v>
      </c>
      <c r="D931" s="50">
        <v>0.94</v>
      </c>
      <c r="E931" s="65">
        <v>2.9600000000000001E-2</v>
      </c>
      <c r="F931" s="65"/>
      <c r="G931" s="65"/>
      <c r="I931" s="21">
        <v>5</v>
      </c>
      <c r="J931" s="21" t="s">
        <v>129</v>
      </c>
      <c r="K931" s="21">
        <v>4.4800000000000004</v>
      </c>
      <c r="L931" s="65">
        <v>2.5000000000000001E-2</v>
      </c>
      <c r="O931" s="15"/>
      <c r="P931" s="15"/>
      <c r="Q931" s="15"/>
      <c r="R931" s="15"/>
      <c r="S931" s="49"/>
      <c r="T931" s="15"/>
      <c r="U931" s="15"/>
      <c r="V931" s="15"/>
      <c r="W931" s="15"/>
    </row>
    <row r="932" spans="2:23" ht="14" customHeight="1" x14ac:dyDescent="0.25">
      <c r="B932" s="21">
        <v>6</v>
      </c>
      <c r="C932" s="21" t="s">
        <v>129</v>
      </c>
      <c r="D932" s="50">
        <v>0.8</v>
      </c>
      <c r="E932" s="65">
        <v>2.52E-2</v>
      </c>
      <c r="F932" s="65"/>
      <c r="G932" s="65"/>
      <c r="I932" s="21">
        <v>6</v>
      </c>
      <c r="J932" s="21" t="s">
        <v>127</v>
      </c>
      <c r="K932" s="21">
        <v>4.5199999999999996</v>
      </c>
      <c r="L932" s="65">
        <v>2.3300000000000001E-2</v>
      </c>
      <c r="O932" s="15"/>
      <c r="P932" s="15"/>
      <c r="Q932" s="15"/>
      <c r="R932" s="15"/>
      <c r="S932" s="49"/>
      <c r="T932" s="15"/>
      <c r="U932" s="15"/>
      <c r="V932" s="15"/>
      <c r="W932" s="15"/>
    </row>
    <row r="933" spans="2:23" ht="14" customHeight="1" x14ac:dyDescent="0.25">
      <c r="B933" s="21">
        <v>7</v>
      </c>
      <c r="C933" s="21" t="s">
        <v>73</v>
      </c>
      <c r="D933" s="50">
        <v>0.74</v>
      </c>
      <c r="E933" s="65">
        <v>2.35E-2</v>
      </c>
      <c r="F933" s="65"/>
      <c r="G933" s="65"/>
      <c r="I933" s="21">
        <v>7</v>
      </c>
      <c r="J933" s="21" t="s">
        <v>74</v>
      </c>
      <c r="K933" s="21">
        <v>4.5199999999999996</v>
      </c>
      <c r="L933" s="65">
        <v>2.3300000000000001E-2</v>
      </c>
      <c r="O933" s="15"/>
      <c r="P933" s="15"/>
      <c r="Q933" s="15"/>
      <c r="R933" s="15"/>
      <c r="S933" s="49"/>
      <c r="T933" s="15"/>
      <c r="U933" s="15"/>
      <c r="V933" s="15"/>
      <c r="W933" s="15"/>
    </row>
    <row r="934" spans="2:23" ht="14" customHeight="1" x14ac:dyDescent="0.25">
      <c r="B934" s="21">
        <v>8</v>
      </c>
      <c r="C934" s="21" t="s">
        <v>322</v>
      </c>
      <c r="D934" s="50">
        <v>0.66</v>
      </c>
      <c r="E934" s="65">
        <v>2.0799999999999999E-2</v>
      </c>
      <c r="F934" s="65"/>
      <c r="G934" s="65"/>
      <c r="I934" s="21">
        <v>8</v>
      </c>
      <c r="J934" s="21" t="s">
        <v>73</v>
      </c>
      <c r="K934" s="21">
        <v>4.42</v>
      </c>
      <c r="L934" s="65">
        <v>2.2800000000000001E-2</v>
      </c>
      <c r="O934" s="15"/>
      <c r="P934" s="15"/>
      <c r="Q934" s="15"/>
      <c r="R934" s="15"/>
      <c r="S934" s="49"/>
      <c r="T934" s="15"/>
      <c r="U934" s="15"/>
      <c r="V934" s="15"/>
      <c r="W934" s="15"/>
    </row>
    <row r="935" spans="2:23" ht="14" customHeight="1" x14ac:dyDescent="0.25">
      <c r="B935" s="21">
        <v>9</v>
      </c>
      <c r="C935" s="21" t="s">
        <v>74</v>
      </c>
      <c r="D935" s="50">
        <v>0.66</v>
      </c>
      <c r="E935" s="65">
        <v>2.07E-2</v>
      </c>
      <c r="F935" s="65"/>
      <c r="G935" s="65"/>
      <c r="I935" s="21">
        <v>9</v>
      </c>
      <c r="J935" s="21" t="s">
        <v>357</v>
      </c>
      <c r="K935" s="21">
        <v>3.68</v>
      </c>
      <c r="L935" s="65">
        <v>1.9E-2</v>
      </c>
      <c r="O935" s="15"/>
      <c r="P935" s="15"/>
      <c r="Q935" s="15"/>
      <c r="R935" s="15"/>
      <c r="S935" s="49"/>
      <c r="T935" s="15"/>
      <c r="U935" s="15"/>
      <c r="V935" s="15"/>
      <c r="W935" s="15"/>
    </row>
    <row r="936" spans="2:23" ht="14" customHeight="1" x14ac:dyDescent="0.25">
      <c r="B936" s="21">
        <v>10</v>
      </c>
      <c r="C936" s="21" t="s">
        <v>549</v>
      </c>
      <c r="D936" s="50">
        <v>0.57999999999999996</v>
      </c>
      <c r="E936" s="65">
        <v>1.8499999999999999E-2</v>
      </c>
      <c r="F936" s="65"/>
      <c r="G936" s="65"/>
      <c r="I936" s="21">
        <v>10</v>
      </c>
      <c r="J936" s="21" t="s">
        <v>322</v>
      </c>
      <c r="K936" s="21">
        <v>3.15</v>
      </c>
      <c r="L936" s="65">
        <v>1.6299999999999999E-2</v>
      </c>
      <c r="O936" s="15"/>
      <c r="P936" s="15"/>
      <c r="Q936" s="15"/>
      <c r="R936" s="15"/>
      <c r="S936" s="49"/>
      <c r="T936" s="15"/>
      <c r="U936" s="15"/>
      <c r="V936" s="15"/>
      <c r="W936" s="15"/>
    </row>
    <row r="937" spans="2:23" ht="14" customHeight="1" x14ac:dyDescent="0.25">
      <c r="B937" s="21">
        <v>11</v>
      </c>
      <c r="C937" s="21" t="s">
        <v>357</v>
      </c>
      <c r="D937" s="50">
        <v>0.52</v>
      </c>
      <c r="E937" s="65">
        <v>1.6299999999999999E-2</v>
      </c>
      <c r="F937" s="65"/>
      <c r="G937" s="65"/>
      <c r="I937" s="21">
        <v>11</v>
      </c>
      <c r="J937" s="21" t="s">
        <v>549</v>
      </c>
      <c r="K937" s="21">
        <v>1.83</v>
      </c>
      <c r="L937" s="65">
        <v>9.4999999999999998E-3</v>
      </c>
      <c r="O937" s="15"/>
      <c r="P937" s="15"/>
      <c r="Q937" s="15"/>
      <c r="R937" s="15"/>
      <c r="S937" s="49"/>
      <c r="T937" s="15"/>
      <c r="U937" s="15"/>
      <c r="V937" s="15"/>
      <c r="W937" s="15"/>
    </row>
    <row r="938" spans="2:23" ht="14" customHeight="1" x14ac:dyDescent="0.25">
      <c r="B938" s="21">
        <v>12</v>
      </c>
      <c r="C938" s="21" t="s">
        <v>509</v>
      </c>
      <c r="D938" s="50">
        <v>0.31</v>
      </c>
      <c r="E938" s="65">
        <v>9.7000000000000003E-3</v>
      </c>
      <c r="F938" s="65"/>
      <c r="G938" s="65"/>
      <c r="I938" s="21">
        <v>12</v>
      </c>
      <c r="J938" s="21" t="s">
        <v>509</v>
      </c>
      <c r="K938" s="21">
        <v>1.81</v>
      </c>
      <c r="L938" s="65">
        <v>9.2999999999999992E-3</v>
      </c>
      <c r="O938" s="15"/>
      <c r="P938" s="15"/>
      <c r="Q938" s="15"/>
      <c r="R938" s="15"/>
      <c r="S938" s="49"/>
      <c r="T938" s="15"/>
      <c r="U938" s="15"/>
      <c r="V938" s="15"/>
      <c r="W938" s="15"/>
    </row>
    <row r="939" spans="2:23" ht="14" customHeight="1" x14ac:dyDescent="0.25">
      <c r="B939" s="21">
        <v>13</v>
      </c>
      <c r="C939" s="21" t="s">
        <v>326</v>
      </c>
      <c r="D939" s="50">
        <v>0.14000000000000001</v>
      </c>
      <c r="E939" s="65">
        <v>4.4000000000000003E-3</v>
      </c>
      <c r="F939" s="65"/>
      <c r="G939" s="65"/>
      <c r="I939" s="21">
        <v>13</v>
      </c>
      <c r="J939" s="21" t="s">
        <v>326</v>
      </c>
      <c r="K939" s="21">
        <v>1.46</v>
      </c>
      <c r="L939" s="65">
        <v>7.6E-3</v>
      </c>
      <c r="O939" s="15"/>
      <c r="P939" s="15"/>
      <c r="Q939" s="15"/>
      <c r="R939" s="15"/>
      <c r="S939" s="49"/>
      <c r="T939" s="15"/>
      <c r="U939" s="15"/>
      <c r="V939" s="15"/>
      <c r="W939" s="15"/>
    </row>
    <row r="940" spans="2:23" ht="14" customHeight="1" x14ac:dyDescent="0.25">
      <c r="B940" s="21">
        <v>14</v>
      </c>
      <c r="C940" s="21" t="s">
        <v>426</v>
      </c>
      <c r="D940" s="50">
        <v>0.14000000000000001</v>
      </c>
      <c r="E940" s="65">
        <v>4.3E-3</v>
      </c>
      <c r="F940" s="65"/>
      <c r="G940" s="65"/>
      <c r="I940" s="21">
        <v>14</v>
      </c>
      <c r="J940" s="21" t="s">
        <v>426</v>
      </c>
      <c r="K940" s="21">
        <v>0.97</v>
      </c>
      <c r="L940" s="65">
        <v>5.0000000000000001E-3</v>
      </c>
      <c r="O940" s="15"/>
      <c r="P940" s="15"/>
      <c r="Q940" s="15"/>
      <c r="R940" s="15"/>
      <c r="S940" s="49"/>
      <c r="T940" s="15"/>
      <c r="U940" s="15"/>
      <c r="V940" s="15"/>
      <c r="W940" s="15"/>
    </row>
    <row r="941" spans="2:23" ht="14" customHeight="1" x14ac:dyDescent="0.25">
      <c r="B941" s="21">
        <v>15</v>
      </c>
      <c r="C941" s="21" t="s">
        <v>485</v>
      </c>
      <c r="D941" s="50">
        <v>0.11</v>
      </c>
      <c r="E941" s="65">
        <v>3.5000000000000001E-3</v>
      </c>
      <c r="F941" s="65"/>
      <c r="G941" s="65"/>
      <c r="I941" s="21">
        <v>15</v>
      </c>
      <c r="J941" s="21" t="s">
        <v>485</v>
      </c>
      <c r="K941" s="21">
        <v>0.97</v>
      </c>
      <c r="L941" s="65">
        <v>5.0000000000000001E-3</v>
      </c>
      <c r="O941" s="15"/>
      <c r="P941" s="15"/>
      <c r="Q941" s="15"/>
      <c r="R941" s="15"/>
      <c r="S941" s="49"/>
      <c r="T941" s="15"/>
      <c r="U941" s="15"/>
      <c r="V941" s="15"/>
      <c r="W941" s="15"/>
    </row>
    <row r="942" spans="2:23" ht="14" customHeight="1" x14ac:dyDescent="0.25">
      <c r="O942" s="15"/>
      <c r="P942" s="15"/>
      <c r="Q942" s="15"/>
      <c r="R942" s="15"/>
      <c r="S942" s="49"/>
      <c r="T942" s="15"/>
      <c r="U942" s="15"/>
      <c r="V942" s="15"/>
      <c r="W942" s="15"/>
    </row>
    <row r="943" spans="2:23" ht="14" customHeight="1" x14ac:dyDescent="0.25">
      <c r="O943" s="15"/>
      <c r="P943" s="15"/>
      <c r="Q943" s="15"/>
      <c r="R943" s="15"/>
      <c r="S943" s="49"/>
      <c r="T943" s="15"/>
      <c r="U943" s="15"/>
      <c r="V943" s="15"/>
      <c r="W943" s="15"/>
    </row>
    <row r="944" spans="2:23" ht="14" customHeight="1" x14ac:dyDescent="0.25">
      <c r="O944" s="15"/>
      <c r="P944" s="15"/>
      <c r="Q944" s="15"/>
      <c r="R944" s="15"/>
      <c r="S944" s="49"/>
      <c r="T944" s="15"/>
      <c r="U944" s="15"/>
      <c r="V944" s="15"/>
      <c r="W944" s="15"/>
    </row>
    <row r="945" spans="2:23" ht="14" customHeight="1" x14ac:dyDescent="0.25">
      <c r="O945" s="15"/>
      <c r="P945" s="15"/>
      <c r="Q945" s="15"/>
      <c r="R945" s="15"/>
      <c r="S945" s="49"/>
      <c r="T945" s="15"/>
      <c r="U945" s="15"/>
      <c r="V945" s="15"/>
      <c r="W945" s="15"/>
    </row>
    <row r="946" spans="2:23" ht="14" customHeight="1" x14ac:dyDescent="0.25">
      <c r="B946" s="15" t="s">
        <v>557</v>
      </c>
      <c r="I946" s="15" t="s">
        <v>558</v>
      </c>
      <c r="O946" s="15"/>
      <c r="P946" s="15"/>
      <c r="Q946" s="15"/>
      <c r="R946" s="15"/>
      <c r="S946" s="15"/>
      <c r="T946" s="15"/>
      <c r="U946" s="15"/>
      <c r="V946" s="15"/>
      <c r="W946" s="15"/>
    </row>
    <row r="947" spans="2:23" ht="14" customHeight="1" x14ac:dyDescent="0.25">
      <c r="B947" s="21" t="s">
        <v>334</v>
      </c>
      <c r="C947" s="21" t="s">
        <v>335</v>
      </c>
      <c r="D947" s="9" t="s">
        <v>436</v>
      </c>
      <c r="E947" s="21" t="s">
        <v>337</v>
      </c>
      <c r="F947" s="21"/>
      <c r="G947" s="21"/>
      <c r="I947" s="21" t="s">
        <v>334</v>
      </c>
      <c r="J947" s="21" t="s">
        <v>335</v>
      </c>
      <c r="K947" s="9" t="s">
        <v>437</v>
      </c>
      <c r="L947" s="21" t="s">
        <v>337</v>
      </c>
      <c r="O947" s="15"/>
      <c r="P947" s="15"/>
      <c r="Q947" s="15"/>
      <c r="R947" s="15"/>
      <c r="S947" s="15"/>
      <c r="T947" s="15"/>
      <c r="U947" s="15"/>
      <c r="V947" s="15"/>
      <c r="W947" s="15"/>
    </row>
    <row r="948" spans="2:23" ht="14" customHeight="1" x14ac:dyDescent="0.25">
      <c r="B948" s="21">
        <v>1</v>
      </c>
      <c r="C948" s="21" t="s">
        <v>68</v>
      </c>
      <c r="D948" s="9">
        <v>12.99</v>
      </c>
      <c r="E948" s="65">
        <v>0.46789999999999998</v>
      </c>
      <c r="F948" s="65"/>
      <c r="G948" s="65"/>
      <c r="I948" s="21">
        <v>1</v>
      </c>
      <c r="J948" s="21" t="s">
        <v>68</v>
      </c>
      <c r="K948" s="21">
        <v>76.900000000000006</v>
      </c>
      <c r="L948" s="65">
        <v>0.47449999999999998</v>
      </c>
      <c r="O948" s="25"/>
      <c r="P948" s="15"/>
      <c r="Q948" s="15"/>
      <c r="R948" s="15"/>
      <c r="S948" s="15"/>
      <c r="T948" s="15"/>
      <c r="U948" s="15"/>
      <c r="V948" s="15"/>
      <c r="W948" s="15"/>
    </row>
    <row r="949" spans="2:23" ht="14" customHeight="1" x14ac:dyDescent="0.25">
      <c r="B949" s="21">
        <v>2</v>
      </c>
      <c r="C949" s="21" t="s">
        <v>69</v>
      </c>
      <c r="D949" s="9">
        <v>6.08</v>
      </c>
      <c r="E949" s="65">
        <v>0.21909999999999999</v>
      </c>
      <c r="F949" s="65"/>
      <c r="G949" s="65"/>
      <c r="I949" s="21">
        <v>2</v>
      </c>
      <c r="J949" s="21" t="s">
        <v>69</v>
      </c>
      <c r="K949" s="21">
        <v>35.96</v>
      </c>
      <c r="L949" s="65">
        <v>0.22189999999999999</v>
      </c>
      <c r="M949" s="49"/>
      <c r="N949" s="49"/>
      <c r="O949" s="21"/>
      <c r="P949" s="21"/>
      <c r="Q949" s="9"/>
      <c r="R949" s="21"/>
      <c r="S949" s="49"/>
      <c r="T949" s="15"/>
      <c r="U949" s="15"/>
      <c r="V949" s="15"/>
      <c r="W949" s="15"/>
    </row>
    <row r="950" spans="2:23" ht="14" customHeight="1" x14ac:dyDescent="0.25">
      <c r="B950" s="21">
        <v>3</v>
      </c>
      <c r="C950" s="21" t="s">
        <v>71</v>
      </c>
      <c r="D950" s="9">
        <v>1.56</v>
      </c>
      <c r="E950" s="65">
        <v>5.62E-2</v>
      </c>
      <c r="F950" s="65"/>
      <c r="G950" s="65"/>
      <c r="I950" s="21">
        <v>3</v>
      </c>
      <c r="J950" s="21" t="s">
        <v>71</v>
      </c>
      <c r="K950" s="21">
        <v>11.38</v>
      </c>
      <c r="L950" s="65">
        <v>7.0199999999999999E-2</v>
      </c>
      <c r="O950" s="21"/>
      <c r="P950" s="21"/>
      <c r="Q950" s="21"/>
      <c r="R950" s="53"/>
      <c r="S950" s="230"/>
      <c r="T950" s="15"/>
      <c r="U950" s="15"/>
      <c r="V950" s="15"/>
      <c r="W950" s="15"/>
    </row>
    <row r="951" spans="2:23" ht="14" customHeight="1" x14ac:dyDescent="0.25">
      <c r="B951" s="21">
        <v>4</v>
      </c>
      <c r="C951" s="21" t="s">
        <v>70</v>
      </c>
      <c r="D951" s="9">
        <v>1.32</v>
      </c>
      <c r="E951" s="65">
        <v>4.7600000000000003E-2</v>
      </c>
      <c r="F951" s="65"/>
      <c r="G951" s="65"/>
      <c r="I951" s="21">
        <v>4</v>
      </c>
      <c r="J951" s="21" t="s">
        <v>70</v>
      </c>
      <c r="K951" s="21">
        <v>7.98</v>
      </c>
      <c r="L951" s="65">
        <v>4.9299999999999997E-2</v>
      </c>
      <c r="O951" s="21"/>
      <c r="P951" s="21"/>
      <c r="Q951" s="21"/>
      <c r="R951" s="53"/>
      <c r="S951" s="230"/>
      <c r="T951" s="15"/>
      <c r="U951" s="15"/>
      <c r="V951" s="15"/>
      <c r="W951" s="15"/>
    </row>
    <row r="952" spans="2:23" ht="14" customHeight="1" x14ac:dyDescent="0.25">
      <c r="B952" s="21">
        <v>5</v>
      </c>
      <c r="C952" s="21" t="s">
        <v>129</v>
      </c>
      <c r="D952" s="9">
        <v>0.8</v>
      </c>
      <c r="E952" s="65">
        <v>2.8799999999999999E-2</v>
      </c>
      <c r="F952" s="65"/>
      <c r="G952" s="65"/>
      <c r="I952" s="21">
        <v>5</v>
      </c>
      <c r="J952" s="21" t="s">
        <v>129</v>
      </c>
      <c r="K952" s="21">
        <v>4.04</v>
      </c>
      <c r="L952" s="65">
        <v>2.5000000000000001E-2</v>
      </c>
      <c r="O952" s="21"/>
      <c r="P952" s="21"/>
      <c r="Q952" s="21"/>
      <c r="R952" s="53"/>
      <c r="S952" s="230"/>
      <c r="T952" s="15"/>
      <c r="U952" s="15"/>
      <c r="V952" s="15"/>
      <c r="W952" s="15"/>
    </row>
    <row r="953" spans="2:23" ht="14" customHeight="1" x14ac:dyDescent="0.25">
      <c r="B953" s="21">
        <v>6</v>
      </c>
      <c r="C953" s="21" t="s">
        <v>74</v>
      </c>
      <c r="D953" s="9">
        <v>0.69</v>
      </c>
      <c r="E953" s="65">
        <v>2.4899999999999999E-2</v>
      </c>
      <c r="F953" s="65"/>
      <c r="G953" s="65"/>
      <c r="I953" s="21">
        <v>6</v>
      </c>
      <c r="J953" s="21" t="s">
        <v>74</v>
      </c>
      <c r="K953" s="21">
        <v>3.86</v>
      </c>
      <c r="L953" s="65">
        <v>2.3800000000000002E-2</v>
      </c>
      <c r="O953" s="21"/>
      <c r="P953" s="21"/>
      <c r="Q953" s="21"/>
      <c r="R953" s="53"/>
      <c r="S953" s="230"/>
      <c r="T953" s="15"/>
      <c r="U953" s="15"/>
      <c r="V953" s="15"/>
      <c r="W953" s="15"/>
    </row>
    <row r="954" spans="2:23" ht="14" customHeight="1" x14ac:dyDescent="0.25">
      <c r="B954" s="21">
        <v>7</v>
      </c>
      <c r="C954" s="21" t="s">
        <v>73</v>
      </c>
      <c r="D954" s="9">
        <v>0.66</v>
      </c>
      <c r="E954" s="65">
        <v>2.3699999999999999E-2</v>
      </c>
      <c r="F954" s="65"/>
      <c r="G954" s="65"/>
      <c r="I954" s="21">
        <v>7</v>
      </c>
      <c r="J954" s="21" t="s">
        <v>73</v>
      </c>
      <c r="K954" s="21">
        <v>3.68</v>
      </c>
      <c r="L954" s="65">
        <v>2.2700000000000001E-2</v>
      </c>
      <c r="O954" s="21"/>
      <c r="P954" s="21"/>
      <c r="Q954" s="21"/>
      <c r="R954" s="53"/>
      <c r="S954" s="230"/>
      <c r="T954" s="15"/>
      <c r="U954" s="15"/>
      <c r="V954" s="15"/>
      <c r="W954" s="15"/>
    </row>
    <row r="955" spans="2:23" ht="14" customHeight="1" x14ac:dyDescent="0.25">
      <c r="B955" s="21">
        <v>8</v>
      </c>
      <c r="C955" s="21" t="s">
        <v>357</v>
      </c>
      <c r="D955" s="9">
        <v>0.63</v>
      </c>
      <c r="E955" s="65">
        <v>2.2700000000000001E-2</v>
      </c>
      <c r="F955" s="65"/>
      <c r="G955" s="65"/>
      <c r="I955" s="21">
        <v>8</v>
      </c>
      <c r="J955" s="21" t="s">
        <v>127</v>
      </c>
      <c r="K955" s="21">
        <v>3.58</v>
      </c>
      <c r="L955" s="65">
        <v>2.2100000000000002E-2</v>
      </c>
      <c r="O955" s="21"/>
      <c r="P955" s="21"/>
      <c r="Q955" s="21"/>
      <c r="R955" s="53"/>
      <c r="S955" s="230"/>
      <c r="T955" s="15"/>
      <c r="U955" s="15"/>
      <c r="V955" s="15"/>
      <c r="W955" s="15"/>
    </row>
    <row r="956" spans="2:23" ht="14" customHeight="1" x14ac:dyDescent="0.25">
      <c r="B956" s="21">
        <v>9</v>
      </c>
      <c r="C956" s="21" t="s">
        <v>322</v>
      </c>
      <c r="D956" s="9">
        <v>0.61</v>
      </c>
      <c r="E956" s="65">
        <v>2.1999999999999999E-2</v>
      </c>
      <c r="F956" s="65"/>
      <c r="G956" s="65"/>
      <c r="I956" s="21">
        <v>9</v>
      </c>
      <c r="J956" s="21" t="s">
        <v>357</v>
      </c>
      <c r="K956" s="21">
        <v>3.17</v>
      </c>
      <c r="L956" s="65">
        <v>1.95E-2</v>
      </c>
      <c r="O956" s="21"/>
      <c r="P956" s="21"/>
      <c r="Q956" s="21"/>
      <c r="R956" s="53"/>
      <c r="S956" s="230"/>
      <c r="T956" s="15"/>
      <c r="U956" s="15"/>
      <c r="V956" s="15"/>
      <c r="W956" s="15"/>
    </row>
    <row r="957" spans="2:23" ht="14" customHeight="1" x14ac:dyDescent="0.25">
      <c r="B957" s="21">
        <v>10</v>
      </c>
      <c r="C957" s="21" t="s">
        <v>509</v>
      </c>
      <c r="D957" s="9">
        <v>0.43</v>
      </c>
      <c r="E957" s="65">
        <v>1.55E-2</v>
      </c>
      <c r="F957" s="65"/>
      <c r="G957" s="65"/>
      <c r="I957" s="21">
        <v>10</v>
      </c>
      <c r="J957" s="21" t="s">
        <v>322</v>
      </c>
      <c r="K957" s="21">
        <v>2.4900000000000002</v>
      </c>
      <c r="L957" s="65">
        <v>1.54E-2</v>
      </c>
      <c r="O957" s="21"/>
      <c r="P957" s="21"/>
      <c r="Q957" s="21"/>
      <c r="R957" s="53"/>
      <c r="S957" s="230"/>
      <c r="T957" s="15"/>
      <c r="U957" s="15"/>
      <c r="V957" s="15"/>
      <c r="W957" s="15"/>
    </row>
    <row r="958" spans="2:23" ht="14" customHeight="1" x14ac:dyDescent="0.25">
      <c r="B958" s="21">
        <v>11</v>
      </c>
      <c r="C958" s="21" t="s">
        <v>127</v>
      </c>
      <c r="D958" s="9">
        <v>0.42</v>
      </c>
      <c r="E958" s="65">
        <v>1.5100000000000001E-2</v>
      </c>
      <c r="F958" s="65"/>
      <c r="G958" s="65"/>
      <c r="I958" s="21">
        <v>11</v>
      </c>
      <c r="J958" s="21" t="s">
        <v>509</v>
      </c>
      <c r="K958" s="21">
        <v>1.5</v>
      </c>
      <c r="L958" s="65">
        <v>9.2999999999999992E-3</v>
      </c>
      <c r="O958" s="21"/>
      <c r="P958" s="21"/>
      <c r="Q958" s="21"/>
      <c r="R958" s="53"/>
      <c r="S958" s="230"/>
      <c r="T958" s="15"/>
      <c r="U958" s="15"/>
      <c r="V958" s="15"/>
      <c r="W958" s="15"/>
    </row>
    <row r="959" spans="2:23" ht="14" customHeight="1" x14ac:dyDescent="0.25">
      <c r="B959" s="21">
        <v>12</v>
      </c>
      <c r="C959" s="21" t="s">
        <v>549</v>
      </c>
      <c r="D959" s="9">
        <v>0.28999999999999998</v>
      </c>
      <c r="E959" s="65">
        <v>1.06E-2</v>
      </c>
      <c r="F959" s="65"/>
      <c r="G959" s="65"/>
      <c r="I959" s="21">
        <v>12</v>
      </c>
      <c r="J959" s="21" t="s">
        <v>326</v>
      </c>
      <c r="K959" s="21">
        <v>1.32</v>
      </c>
      <c r="L959" s="65">
        <v>8.2000000000000007E-3</v>
      </c>
      <c r="O959" s="21"/>
      <c r="P959" s="21"/>
      <c r="Q959" s="21"/>
      <c r="R959" s="53"/>
      <c r="S959" s="230"/>
      <c r="T959" s="15"/>
      <c r="U959" s="15"/>
      <c r="V959" s="15"/>
      <c r="W959" s="15"/>
    </row>
    <row r="960" spans="2:23" ht="14" customHeight="1" x14ac:dyDescent="0.25">
      <c r="B960" s="21">
        <v>13</v>
      </c>
      <c r="C960" s="21" t="s">
        <v>553</v>
      </c>
      <c r="D960" s="9">
        <v>0.22</v>
      </c>
      <c r="E960" s="65">
        <v>7.9000000000000008E-3</v>
      </c>
      <c r="F960" s="65"/>
      <c r="G960" s="65"/>
      <c r="I960" s="21">
        <v>13</v>
      </c>
      <c r="J960" s="21" t="s">
        <v>549</v>
      </c>
      <c r="K960" s="21">
        <v>1.25</v>
      </c>
      <c r="L960" s="65">
        <v>7.7000000000000002E-3</v>
      </c>
      <c r="O960" s="21"/>
      <c r="P960" s="15"/>
      <c r="Q960" s="15"/>
      <c r="R960" s="53"/>
      <c r="S960" s="15"/>
      <c r="T960" s="15"/>
      <c r="U960" s="15"/>
      <c r="V960" s="15"/>
      <c r="W960" s="15"/>
    </row>
    <row r="961" spans="2:23" ht="14" customHeight="1" x14ac:dyDescent="0.25">
      <c r="B961" s="21">
        <v>14</v>
      </c>
      <c r="C961" s="21" t="s">
        <v>326</v>
      </c>
      <c r="D961" s="50">
        <v>0.2</v>
      </c>
      <c r="E961" s="65">
        <v>7.1999999999999998E-3</v>
      </c>
      <c r="F961" s="65"/>
      <c r="G961" s="65"/>
      <c r="I961" s="21">
        <v>14</v>
      </c>
      <c r="J961" s="21" t="s">
        <v>485</v>
      </c>
      <c r="K961" s="21">
        <v>0.86</v>
      </c>
      <c r="L961" s="65">
        <v>5.3E-3</v>
      </c>
      <c r="O961" s="15"/>
      <c r="P961" s="15"/>
      <c r="Q961" s="15"/>
      <c r="R961" s="44"/>
      <c r="S961" s="15"/>
      <c r="T961" s="15"/>
      <c r="U961" s="15"/>
      <c r="V961" s="15"/>
      <c r="W961" s="15"/>
    </row>
    <row r="962" spans="2:23" ht="14" customHeight="1" x14ac:dyDescent="0.25">
      <c r="B962" s="21">
        <v>15</v>
      </c>
      <c r="C962" s="21" t="s">
        <v>426</v>
      </c>
      <c r="D962" s="9">
        <v>0.14000000000000001</v>
      </c>
      <c r="E962" s="65">
        <v>5.1000000000000004E-3</v>
      </c>
      <c r="F962" s="65"/>
      <c r="G962" s="65"/>
      <c r="I962" s="21">
        <v>15</v>
      </c>
      <c r="J962" s="21" t="s">
        <v>426</v>
      </c>
      <c r="K962" s="21">
        <v>0.83</v>
      </c>
      <c r="L962" s="65">
        <v>5.1000000000000004E-3</v>
      </c>
      <c r="O962" s="15"/>
      <c r="P962" s="15"/>
      <c r="Q962" s="15"/>
      <c r="R962" s="15"/>
      <c r="S962" s="15"/>
      <c r="T962" s="15"/>
      <c r="U962" s="15"/>
      <c r="V962" s="15"/>
      <c r="W962" s="15"/>
    </row>
    <row r="963" spans="2:23" ht="14" customHeight="1" x14ac:dyDescent="0.25">
      <c r="D963" s="15">
        <f>SUM(D953:D962)</f>
        <v>4.29</v>
      </c>
      <c r="O963" s="15"/>
      <c r="P963" s="15"/>
      <c r="Q963" s="15"/>
      <c r="R963" s="15"/>
      <c r="S963" s="15"/>
      <c r="T963" s="15"/>
      <c r="U963" s="15"/>
      <c r="V963" s="15"/>
      <c r="W963" s="15"/>
    </row>
    <row r="964" spans="2:23" ht="14" customHeight="1" x14ac:dyDescent="0.25">
      <c r="O964" s="15"/>
      <c r="P964" s="15"/>
      <c r="Q964" s="15"/>
      <c r="R964" s="15"/>
      <c r="S964" s="15"/>
      <c r="T964" s="15"/>
      <c r="U964" s="15"/>
      <c r="V964" s="15"/>
      <c r="W964" s="15"/>
    </row>
    <row r="965" spans="2:23" ht="14" customHeight="1" x14ac:dyDescent="0.25">
      <c r="B965" s="15" t="s">
        <v>559</v>
      </c>
      <c r="I965" s="15" t="s">
        <v>560</v>
      </c>
      <c r="O965" s="15"/>
      <c r="P965" s="15"/>
      <c r="Q965" s="15"/>
      <c r="R965" s="15"/>
      <c r="S965" s="15"/>
      <c r="T965" s="15"/>
      <c r="U965" s="15"/>
      <c r="V965" s="15"/>
      <c r="W965" s="15"/>
    </row>
    <row r="966" spans="2:23" ht="14" customHeight="1" x14ac:dyDescent="0.25">
      <c r="B966" s="21" t="s">
        <v>334</v>
      </c>
      <c r="C966" s="21" t="s">
        <v>335</v>
      </c>
      <c r="D966" s="9" t="s">
        <v>561</v>
      </c>
      <c r="E966" s="21" t="s">
        <v>337</v>
      </c>
      <c r="F966" s="21"/>
      <c r="G966" s="21"/>
      <c r="I966" s="21" t="s">
        <v>334</v>
      </c>
      <c r="J966" s="21" t="s">
        <v>335</v>
      </c>
      <c r="K966" s="9" t="s">
        <v>437</v>
      </c>
      <c r="L966" s="21" t="s">
        <v>337</v>
      </c>
      <c r="O966" s="15"/>
      <c r="P966" s="15"/>
      <c r="Q966" s="15"/>
      <c r="R966" s="15"/>
      <c r="S966" s="15"/>
      <c r="T966" s="15"/>
      <c r="U966" s="15"/>
      <c r="V966" s="15"/>
      <c r="W966" s="15"/>
    </row>
    <row r="967" spans="2:23" ht="14" customHeight="1" x14ac:dyDescent="0.25">
      <c r="B967" s="66">
        <v>1</v>
      </c>
      <c r="C967" s="66" t="s">
        <v>98</v>
      </c>
      <c r="D967" s="66">
        <v>11.41</v>
      </c>
      <c r="E967" s="67">
        <v>0.47189999999999999</v>
      </c>
      <c r="F967" s="16"/>
      <c r="G967" s="16"/>
      <c r="I967" s="68">
        <v>1</v>
      </c>
      <c r="J967" s="68" t="s">
        <v>98</v>
      </c>
      <c r="K967" s="68">
        <v>63.91</v>
      </c>
      <c r="L967" s="69">
        <v>0.47589999999999999</v>
      </c>
      <c r="O967" s="15"/>
      <c r="P967" s="15"/>
      <c r="Q967" s="15"/>
      <c r="R967" s="15"/>
      <c r="S967" s="15"/>
      <c r="T967" s="15"/>
      <c r="U967" s="15"/>
      <c r="V967" s="15"/>
      <c r="W967" s="15"/>
    </row>
    <row r="968" spans="2:23" ht="14" customHeight="1" x14ac:dyDescent="0.25">
      <c r="B968" s="15">
        <v>2</v>
      </c>
      <c r="C968" s="15" t="s">
        <v>99</v>
      </c>
      <c r="D968" s="15">
        <v>6.1</v>
      </c>
      <c r="E968" s="16">
        <v>0.25230000000000002</v>
      </c>
      <c r="F968" s="16"/>
      <c r="G968" s="16"/>
      <c r="I968" s="59">
        <v>2</v>
      </c>
      <c r="J968" s="59" t="s">
        <v>99</v>
      </c>
      <c r="K968" s="59">
        <v>29.88</v>
      </c>
      <c r="L968" s="56">
        <v>0.2225</v>
      </c>
      <c r="O968" s="25"/>
      <c r="P968" s="15"/>
      <c r="Q968" s="15"/>
      <c r="R968" s="15"/>
      <c r="S968" s="15"/>
      <c r="T968" s="15"/>
      <c r="U968" s="15"/>
      <c r="V968" s="15"/>
      <c r="W968" s="15"/>
    </row>
    <row r="969" spans="2:23" ht="14" customHeight="1" x14ac:dyDescent="0.25">
      <c r="B969" s="15">
        <v>3</v>
      </c>
      <c r="C969" s="15" t="s">
        <v>100</v>
      </c>
      <c r="D969" s="15">
        <v>1.47</v>
      </c>
      <c r="E969" s="16">
        <v>6.0699999999999997E-2</v>
      </c>
      <c r="F969" s="16"/>
      <c r="G969" s="16"/>
      <c r="I969" s="59">
        <v>3</v>
      </c>
      <c r="J969" s="59" t="s">
        <v>100</v>
      </c>
      <c r="K969" s="59">
        <v>9.82</v>
      </c>
      <c r="L969" s="56">
        <v>7.3099999999999998E-2</v>
      </c>
      <c r="M969" s="49"/>
      <c r="N969" s="49"/>
      <c r="O969" s="21"/>
      <c r="P969" s="21"/>
      <c r="Q969" s="9"/>
      <c r="R969" s="21"/>
      <c r="S969" s="49"/>
      <c r="T969" s="15"/>
      <c r="U969" s="15"/>
      <c r="V969" s="15"/>
      <c r="W969" s="15"/>
    </row>
    <row r="970" spans="2:23" ht="14" customHeight="1" x14ac:dyDescent="0.25">
      <c r="B970" s="15">
        <v>4</v>
      </c>
      <c r="C970" s="15" t="s">
        <v>101</v>
      </c>
      <c r="D970" s="15">
        <v>1.1399999999999999</v>
      </c>
      <c r="E970" s="16">
        <v>4.7E-2</v>
      </c>
      <c r="F970" s="16"/>
      <c r="G970" s="16"/>
      <c r="I970" s="59">
        <v>4</v>
      </c>
      <c r="J970" s="59" t="s">
        <v>101</v>
      </c>
      <c r="K970" s="59">
        <v>6.66</v>
      </c>
      <c r="L970" s="56">
        <v>4.9599999999999998E-2</v>
      </c>
      <c r="O970" s="21"/>
      <c r="P970" s="21"/>
      <c r="Q970" s="21"/>
      <c r="R970" s="53"/>
      <c r="S970" s="230"/>
      <c r="T970" s="15"/>
      <c r="U970" s="15"/>
      <c r="V970" s="15"/>
      <c r="W970" s="15"/>
    </row>
    <row r="971" spans="2:23" ht="14" customHeight="1" x14ac:dyDescent="0.25">
      <c r="B971" s="15">
        <v>5</v>
      </c>
      <c r="C971" s="15" t="s">
        <v>181</v>
      </c>
      <c r="D971" s="15">
        <v>0.75</v>
      </c>
      <c r="E971" s="16">
        <v>3.1099999999999999E-2</v>
      </c>
      <c r="F971" s="16"/>
      <c r="G971" s="16"/>
      <c r="I971" s="59">
        <v>5</v>
      </c>
      <c r="J971" s="59" t="s">
        <v>181</v>
      </c>
      <c r="K971" s="59">
        <v>3.24</v>
      </c>
      <c r="L971" s="56">
        <v>2.4199999999999999E-2</v>
      </c>
      <c r="O971" s="21"/>
      <c r="P971" s="21"/>
      <c r="Q971" s="21"/>
      <c r="R971" s="53"/>
      <c r="S971" s="230"/>
      <c r="T971" s="15"/>
      <c r="U971" s="15"/>
      <c r="V971" s="15"/>
      <c r="W971" s="15"/>
    </row>
    <row r="972" spans="2:23" ht="14" customHeight="1" x14ac:dyDescent="0.25">
      <c r="B972" s="15">
        <v>6</v>
      </c>
      <c r="C972" s="15" t="s">
        <v>104</v>
      </c>
      <c r="D972" s="15">
        <v>0.59</v>
      </c>
      <c r="E972" s="16">
        <v>2.4400000000000002E-2</v>
      </c>
      <c r="F972" s="16"/>
      <c r="G972" s="16"/>
      <c r="I972" s="59">
        <v>6</v>
      </c>
      <c r="J972" s="59" t="s">
        <v>104</v>
      </c>
      <c r="K972" s="59">
        <v>3.17</v>
      </c>
      <c r="L972" s="56">
        <v>2.3599999999999999E-2</v>
      </c>
      <c r="O972" s="21"/>
      <c r="P972" s="21"/>
      <c r="Q972" s="21"/>
      <c r="R972" s="53"/>
      <c r="S972" s="230"/>
      <c r="T972" s="15"/>
      <c r="U972" s="15"/>
      <c r="V972" s="15"/>
      <c r="W972" s="15"/>
    </row>
    <row r="973" spans="2:23" ht="14" customHeight="1" x14ac:dyDescent="0.25">
      <c r="B973" s="15">
        <v>7</v>
      </c>
      <c r="C973" s="15" t="s">
        <v>103</v>
      </c>
      <c r="D973" s="15">
        <v>0.57999999999999996</v>
      </c>
      <c r="E973" s="16">
        <v>2.3800000000000002E-2</v>
      </c>
      <c r="F973" s="16"/>
      <c r="G973" s="16"/>
      <c r="I973" s="59">
        <v>7</v>
      </c>
      <c r="J973" s="59" t="s">
        <v>172</v>
      </c>
      <c r="K973" s="59">
        <v>3.16</v>
      </c>
      <c r="L973" s="56">
        <v>2.3599999999999999E-2</v>
      </c>
      <c r="O973" s="21"/>
      <c r="P973" s="21"/>
      <c r="Q973" s="21"/>
      <c r="R973" s="53"/>
      <c r="S973" s="230"/>
      <c r="T973" s="15"/>
      <c r="U973" s="15"/>
      <c r="V973" s="15"/>
      <c r="W973" s="15"/>
    </row>
    <row r="974" spans="2:23" ht="14" customHeight="1" x14ac:dyDescent="0.25">
      <c r="B974" s="15">
        <v>8</v>
      </c>
      <c r="C974" s="15" t="s">
        <v>369</v>
      </c>
      <c r="D974" s="15">
        <v>0.54</v>
      </c>
      <c r="E974" s="16">
        <v>2.23E-2</v>
      </c>
      <c r="F974" s="16"/>
      <c r="G974" s="16"/>
      <c r="I974" s="59">
        <v>8</v>
      </c>
      <c r="J974" s="59" t="s">
        <v>103</v>
      </c>
      <c r="K974" s="59">
        <v>3.02</v>
      </c>
      <c r="L974" s="56">
        <v>2.2499999999999999E-2</v>
      </c>
      <c r="O974" s="21"/>
      <c r="P974" s="21"/>
      <c r="Q974" s="21"/>
      <c r="R974" s="53"/>
      <c r="S974" s="230"/>
      <c r="T974" s="15"/>
      <c r="U974" s="15"/>
      <c r="V974" s="15"/>
      <c r="W974" s="15"/>
    </row>
    <row r="975" spans="2:23" ht="14" customHeight="1" x14ac:dyDescent="0.25">
      <c r="B975" s="15">
        <v>9</v>
      </c>
      <c r="C975" s="15" t="s">
        <v>185</v>
      </c>
      <c r="D975" s="15">
        <v>0.43</v>
      </c>
      <c r="E975" s="16">
        <v>1.7600000000000001E-2</v>
      </c>
      <c r="F975" s="16"/>
      <c r="G975" s="16"/>
      <c r="I975" s="59">
        <v>9</v>
      </c>
      <c r="J975" s="59" t="s">
        <v>185</v>
      </c>
      <c r="K975" s="59">
        <v>2.5299999999999998</v>
      </c>
      <c r="L975" s="56">
        <v>1.89E-2</v>
      </c>
      <c r="O975" s="21"/>
      <c r="P975" s="21"/>
      <c r="Q975" s="21"/>
      <c r="R975" s="53"/>
      <c r="S975" s="230"/>
      <c r="T975" s="15"/>
      <c r="U975" s="15"/>
      <c r="V975" s="15"/>
      <c r="W975" s="15"/>
    </row>
    <row r="976" spans="2:23" ht="14" customHeight="1" x14ac:dyDescent="0.25">
      <c r="B976" s="70">
        <v>10</v>
      </c>
      <c r="C976" s="70" t="s">
        <v>562</v>
      </c>
      <c r="D976" s="70">
        <v>0.2</v>
      </c>
      <c r="E976" s="71">
        <v>8.3999999999999995E-3</v>
      </c>
      <c r="F976" s="16"/>
      <c r="G976" s="16"/>
      <c r="I976" s="72">
        <v>10</v>
      </c>
      <c r="J976" s="72" t="s">
        <v>563</v>
      </c>
      <c r="K976" s="72">
        <v>1.88</v>
      </c>
      <c r="L976" s="73">
        <v>1.4E-2</v>
      </c>
      <c r="O976" s="21"/>
      <c r="P976" s="21"/>
      <c r="Q976" s="21"/>
      <c r="R976" s="53"/>
      <c r="S976" s="230"/>
      <c r="T976" s="15"/>
      <c r="U976" s="15"/>
      <c r="V976" s="15"/>
      <c r="W976" s="15"/>
    </row>
    <row r="977" spans="2:23" ht="14" customHeight="1" x14ac:dyDescent="0.25">
      <c r="B977" s="21">
        <v>11</v>
      </c>
      <c r="C977" s="21" t="s">
        <v>509</v>
      </c>
      <c r="D977" s="21">
        <v>0.17</v>
      </c>
      <c r="E977" s="53">
        <v>7.1000000000000004E-3</v>
      </c>
      <c r="F977" s="53"/>
      <c r="G977" s="53"/>
      <c r="I977" s="21">
        <v>11</v>
      </c>
      <c r="J977" s="21" t="s">
        <v>326</v>
      </c>
      <c r="K977" s="21">
        <v>1.1200000000000001</v>
      </c>
      <c r="L977" s="53">
        <v>8.3999999999999995E-3</v>
      </c>
      <c r="O977" s="21"/>
      <c r="P977" s="21"/>
      <c r="Q977" s="21"/>
      <c r="R977" s="53"/>
      <c r="S977" s="230"/>
      <c r="T977" s="15"/>
      <c r="U977" s="15"/>
      <c r="V977" s="15"/>
      <c r="W977" s="15"/>
    </row>
    <row r="978" spans="2:23" ht="14" customHeight="1" x14ac:dyDescent="0.25">
      <c r="B978" s="21">
        <v>12</v>
      </c>
      <c r="C978" s="21" t="s">
        <v>485</v>
      </c>
      <c r="D978" s="21">
        <v>0.15</v>
      </c>
      <c r="E978" s="53">
        <v>6.0000000000000001E-3</v>
      </c>
      <c r="F978" s="53"/>
      <c r="G978" s="53"/>
      <c r="I978" s="21">
        <v>12</v>
      </c>
      <c r="J978" s="21" t="s">
        <v>509</v>
      </c>
      <c r="K978" s="21">
        <v>1.07</v>
      </c>
      <c r="L978" s="53">
        <v>8.0000000000000002E-3</v>
      </c>
      <c r="O978" s="21"/>
      <c r="P978" s="21"/>
      <c r="Q978" s="21"/>
      <c r="R978" s="53"/>
      <c r="S978" s="230"/>
      <c r="T978" s="15"/>
      <c r="U978" s="15"/>
      <c r="V978" s="15"/>
      <c r="W978" s="15"/>
    </row>
    <row r="979" spans="2:23" ht="14" customHeight="1" x14ac:dyDescent="0.25">
      <c r="B979" s="21">
        <v>13</v>
      </c>
      <c r="C979" s="21" t="s">
        <v>426</v>
      </c>
      <c r="D979" s="21">
        <v>0.14000000000000001</v>
      </c>
      <c r="E979" s="53">
        <v>5.8999999999999999E-3</v>
      </c>
      <c r="F979" s="53"/>
      <c r="G979" s="53"/>
      <c r="I979" s="21">
        <v>13</v>
      </c>
      <c r="J979" s="21" t="s">
        <v>554</v>
      </c>
      <c r="K979" s="21">
        <v>0.95</v>
      </c>
      <c r="L979" s="53">
        <v>7.1000000000000004E-3</v>
      </c>
      <c r="O979" s="21"/>
      <c r="P979" s="21"/>
      <c r="Q979" s="21"/>
      <c r="R979" s="53"/>
      <c r="S979" s="230"/>
      <c r="T979" s="15"/>
      <c r="U979" s="15"/>
      <c r="V979" s="15"/>
      <c r="W979" s="15"/>
    </row>
    <row r="980" spans="2:23" ht="14" customHeight="1" x14ac:dyDescent="0.25">
      <c r="B980" s="21">
        <v>14</v>
      </c>
      <c r="C980" s="21" t="s">
        <v>326</v>
      </c>
      <c r="D980" s="21">
        <v>0.12</v>
      </c>
      <c r="E980" s="53">
        <v>4.7999999999999996E-3</v>
      </c>
      <c r="F980" s="53"/>
      <c r="G980" s="53"/>
      <c r="I980" s="21">
        <v>14</v>
      </c>
      <c r="J980" s="21" t="s">
        <v>485</v>
      </c>
      <c r="K980" s="21">
        <v>0.75</v>
      </c>
      <c r="L980" s="53">
        <v>5.5999999999999999E-3</v>
      </c>
      <c r="O980" s="21"/>
      <c r="P980" s="15"/>
      <c r="Q980" s="15"/>
      <c r="R980" s="53"/>
      <c r="S980" s="15"/>
      <c r="T980" s="15"/>
      <c r="U980" s="15"/>
      <c r="V980" s="15"/>
      <c r="W980" s="15"/>
    </row>
    <row r="981" spans="2:23" ht="14" customHeight="1" x14ac:dyDescent="0.25">
      <c r="B981" s="21">
        <v>15</v>
      </c>
      <c r="C981" s="21" t="s">
        <v>493</v>
      </c>
      <c r="D981" s="21">
        <v>0.08</v>
      </c>
      <c r="E981" s="53">
        <v>3.5000000000000001E-3</v>
      </c>
      <c r="F981" s="53"/>
      <c r="G981" s="53"/>
      <c r="I981" s="21">
        <v>15</v>
      </c>
      <c r="J981" s="21" t="s">
        <v>426</v>
      </c>
      <c r="K981" s="21">
        <v>0.69</v>
      </c>
      <c r="L981" s="53">
        <v>5.1000000000000004E-3</v>
      </c>
      <c r="O981" s="15"/>
      <c r="P981" s="15"/>
      <c r="Q981" s="15"/>
      <c r="R981" s="44"/>
      <c r="S981" s="15"/>
      <c r="T981" s="15"/>
      <c r="U981" s="15"/>
      <c r="V981" s="15"/>
      <c r="W981" s="15"/>
    </row>
    <row r="982" spans="2:23" ht="14" customHeight="1" x14ac:dyDescent="0.25">
      <c r="O982" s="15"/>
      <c r="P982" s="15"/>
      <c r="Q982" s="15"/>
      <c r="R982" s="15"/>
      <c r="S982" s="15"/>
      <c r="T982" s="15"/>
      <c r="U982" s="15"/>
      <c r="V982" s="15"/>
      <c r="W982" s="15"/>
    </row>
    <row r="983" spans="2:23" ht="14" customHeight="1" x14ac:dyDescent="0.25">
      <c r="O983" s="15"/>
      <c r="P983" s="15"/>
      <c r="Q983" s="15"/>
      <c r="R983" s="15"/>
      <c r="S983" s="15"/>
      <c r="T983" s="15"/>
      <c r="U983" s="15"/>
      <c r="V983" s="15"/>
      <c r="W983" s="15"/>
    </row>
    <row r="984" spans="2:23" ht="14" customHeight="1" x14ac:dyDescent="0.25">
      <c r="O984" s="15"/>
      <c r="P984" s="15"/>
      <c r="Q984" s="15"/>
      <c r="R984" s="15"/>
      <c r="S984" s="15"/>
      <c r="T984" s="15"/>
      <c r="U984" s="15"/>
      <c r="V984" s="15"/>
      <c r="W984" s="15"/>
    </row>
    <row r="985" spans="2:23" ht="14" customHeight="1" x14ac:dyDescent="0.25">
      <c r="B985" s="15" t="s">
        <v>564</v>
      </c>
      <c r="I985" s="15" t="s">
        <v>565</v>
      </c>
      <c r="O985" s="15"/>
      <c r="P985" s="15"/>
      <c r="Q985" s="15"/>
      <c r="R985" s="15"/>
      <c r="S985" s="15"/>
      <c r="T985" s="15"/>
      <c r="U985" s="15"/>
      <c r="V985" s="15"/>
      <c r="W985" s="15"/>
    </row>
    <row r="986" spans="2:23" ht="14" customHeight="1" x14ac:dyDescent="0.25">
      <c r="B986" s="21" t="s">
        <v>334</v>
      </c>
      <c r="C986" s="21" t="s">
        <v>335</v>
      </c>
      <c r="D986" s="9" t="s">
        <v>561</v>
      </c>
      <c r="E986" s="21" t="s">
        <v>337</v>
      </c>
      <c r="F986" s="21"/>
      <c r="G986" s="21"/>
      <c r="I986" s="21" t="s">
        <v>334</v>
      </c>
      <c r="J986" s="21" t="s">
        <v>335</v>
      </c>
      <c r="K986" s="9" t="s">
        <v>437</v>
      </c>
      <c r="L986" s="21" t="s">
        <v>337</v>
      </c>
      <c r="O986" s="15"/>
      <c r="P986" s="15"/>
      <c r="Q986" s="15"/>
      <c r="R986" s="15"/>
      <c r="S986" s="15"/>
      <c r="T986" s="15"/>
      <c r="U986" s="15"/>
      <c r="V986" s="15"/>
      <c r="W986" s="15"/>
    </row>
    <row r="987" spans="2:23" ht="14" customHeight="1" x14ac:dyDescent="0.25">
      <c r="B987" s="21">
        <v>1</v>
      </c>
      <c r="C987" s="21" t="s">
        <v>68</v>
      </c>
      <c r="D987" s="21">
        <v>13.4</v>
      </c>
      <c r="E987" s="53">
        <v>0.496</v>
      </c>
      <c r="F987" s="53"/>
      <c r="G987" s="53"/>
      <c r="I987" s="21">
        <v>1</v>
      </c>
      <c r="J987" s="21" t="s">
        <v>68</v>
      </c>
      <c r="K987" s="21">
        <v>52.5</v>
      </c>
      <c r="L987" s="53">
        <v>0.47670000000000001</v>
      </c>
      <c r="O987" s="15"/>
      <c r="P987" s="15"/>
      <c r="Q987" s="15"/>
      <c r="R987" s="15"/>
      <c r="S987" s="15"/>
      <c r="T987" s="15"/>
      <c r="U987" s="15"/>
      <c r="V987" s="15"/>
      <c r="W987" s="15"/>
    </row>
    <row r="988" spans="2:23" ht="14" customHeight="1" x14ac:dyDescent="0.25">
      <c r="B988" s="21">
        <v>2</v>
      </c>
      <c r="C988" s="21" t="s">
        <v>69</v>
      </c>
      <c r="D988" s="21">
        <v>5.01</v>
      </c>
      <c r="E988" s="53">
        <v>0.18529999999999999</v>
      </c>
      <c r="F988" s="53"/>
      <c r="G988" s="53"/>
      <c r="I988" s="21">
        <v>2</v>
      </c>
      <c r="J988" s="21" t="s">
        <v>69</v>
      </c>
      <c r="K988" s="21">
        <v>23.78</v>
      </c>
      <c r="L988" s="53">
        <v>0.21590000000000001</v>
      </c>
      <c r="O988" s="15"/>
      <c r="P988" s="15"/>
      <c r="Q988" s="15"/>
      <c r="R988" s="15"/>
      <c r="S988" s="15"/>
      <c r="T988" s="15"/>
      <c r="U988" s="15"/>
      <c r="V988" s="15"/>
      <c r="W988" s="15"/>
    </row>
    <row r="989" spans="2:23" ht="14" customHeight="1" x14ac:dyDescent="0.25">
      <c r="B989" s="21">
        <v>3</v>
      </c>
      <c r="C989" s="21" t="s">
        <v>127</v>
      </c>
      <c r="D989" s="21">
        <v>1.67</v>
      </c>
      <c r="E989" s="53">
        <v>6.1899999999999997E-2</v>
      </c>
      <c r="F989" s="53"/>
      <c r="G989" s="53"/>
      <c r="I989" s="21">
        <v>3</v>
      </c>
      <c r="J989" s="21" t="s">
        <v>71</v>
      </c>
      <c r="K989" s="21">
        <v>8.35</v>
      </c>
      <c r="L989" s="53">
        <v>7.5800000000000006E-2</v>
      </c>
      <c r="O989" s="15"/>
      <c r="P989" s="15"/>
      <c r="Q989" s="15"/>
      <c r="R989" s="15"/>
      <c r="S989" s="15"/>
      <c r="T989" s="15"/>
      <c r="U989" s="15"/>
      <c r="V989" s="15"/>
      <c r="W989" s="15"/>
    </row>
    <row r="990" spans="2:23" ht="14" customHeight="1" x14ac:dyDescent="0.25">
      <c r="B990" s="21">
        <v>4</v>
      </c>
      <c r="C990" s="21" t="s">
        <v>71</v>
      </c>
      <c r="D990" s="21">
        <v>1.62</v>
      </c>
      <c r="E990" s="53">
        <v>6.0100000000000001E-2</v>
      </c>
      <c r="F990" s="53"/>
      <c r="G990" s="53"/>
      <c r="I990" s="21">
        <v>4</v>
      </c>
      <c r="J990" s="21" t="s">
        <v>70</v>
      </c>
      <c r="K990" s="21">
        <v>5.52</v>
      </c>
      <c r="L990" s="53">
        <v>5.0200000000000002E-2</v>
      </c>
      <c r="O990" s="15"/>
      <c r="P990" s="15"/>
      <c r="Q990" s="15"/>
      <c r="R990" s="15"/>
      <c r="S990" s="15"/>
      <c r="T990" s="15"/>
      <c r="U990" s="15"/>
      <c r="V990" s="15"/>
      <c r="W990" s="15"/>
    </row>
    <row r="991" spans="2:23" ht="14" customHeight="1" x14ac:dyDescent="0.25">
      <c r="B991" s="21">
        <v>5</v>
      </c>
      <c r="C991" s="21" t="s">
        <v>70</v>
      </c>
      <c r="D991" s="21">
        <v>1.34</v>
      </c>
      <c r="E991" s="53">
        <v>4.9399999999999999E-2</v>
      </c>
      <c r="F991" s="53"/>
      <c r="G991" s="53"/>
      <c r="I991" s="21">
        <v>5</v>
      </c>
      <c r="J991" s="21" t="s">
        <v>127</v>
      </c>
      <c r="K991" s="21">
        <v>3.14</v>
      </c>
      <c r="L991" s="53">
        <v>2.8500000000000001E-2</v>
      </c>
      <c r="O991" s="15"/>
      <c r="P991" s="15"/>
      <c r="Q991" s="15"/>
      <c r="R991" s="15"/>
      <c r="S991" s="15"/>
      <c r="T991" s="15"/>
      <c r="U991" s="15"/>
      <c r="V991" s="15"/>
      <c r="W991" s="15"/>
    </row>
    <row r="992" spans="2:23" ht="14" customHeight="1" x14ac:dyDescent="0.25">
      <c r="B992" s="21">
        <v>6</v>
      </c>
      <c r="C992" s="21" t="s">
        <v>129</v>
      </c>
      <c r="D992" s="21">
        <v>0.64</v>
      </c>
      <c r="E992" s="53">
        <v>2.3699999999999999E-2</v>
      </c>
      <c r="F992" s="53"/>
      <c r="G992" s="53"/>
      <c r="I992" s="21">
        <v>6</v>
      </c>
      <c r="J992" s="21" t="s">
        <v>74</v>
      </c>
      <c r="K992" s="21">
        <v>2.58</v>
      </c>
      <c r="L992" s="53">
        <v>2.35E-2</v>
      </c>
      <c r="O992" s="15"/>
      <c r="P992" s="15"/>
      <c r="Q992" s="15"/>
      <c r="R992" s="15"/>
      <c r="S992" s="15"/>
      <c r="T992" s="15"/>
      <c r="U992" s="15"/>
      <c r="V992" s="15"/>
      <c r="W992" s="15"/>
    </row>
    <row r="993" spans="2:23" ht="14" customHeight="1" x14ac:dyDescent="0.25">
      <c r="B993" s="21">
        <v>7</v>
      </c>
      <c r="C993" s="21" t="s">
        <v>74</v>
      </c>
      <c r="D993" s="21">
        <v>0.56999999999999995</v>
      </c>
      <c r="E993" s="53">
        <v>2.1100000000000001E-2</v>
      </c>
      <c r="F993" s="53"/>
      <c r="G993" s="53"/>
      <c r="I993" s="21">
        <v>7</v>
      </c>
      <c r="J993" s="21" t="s">
        <v>129</v>
      </c>
      <c r="K993" s="21">
        <v>2.4900000000000002</v>
      </c>
      <c r="L993" s="53">
        <v>2.2599999999999999E-2</v>
      </c>
      <c r="O993" s="15"/>
      <c r="P993" s="15"/>
      <c r="Q993" s="15"/>
      <c r="R993" s="15"/>
      <c r="S993" s="15"/>
      <c r="T993" s="15"/>
      <c r="U993" s="15"/>
      <c r="V993" s="15"/>
      <c r="W993" s="15"/>
    </row>
    <row r="994" spans="2:23" ht="14" customHeight="1" x14ac:dyDescent="0.25">
      <c r="B994" s="21">
        <v>8</v>
      </c>
      <c r="C994" s="21" t="s">
        <v>73</v>
      </c>
      <c r="D994" s="21">
        <v>0.56999999999999995</v>
      </c>
      <c r="E994" s="53">
        <v>2.0899999999999998E-2</v>
      </c>
      <c r="F994" s="53"/>
      <c r="G994" s="53"/>
      <c r="I994" s="21">
        <v>8</v>
      </c>
      <c r="J994" s="21" t="s">
        <v>73</v>
      </c>
      <c r="K994" s="21">
        <v>2.4500000000000002</v>
      </c>
      <c r="L994" s="53">
        <v>2.2200000000000001E-2</v>
      </c>
      <c r="O994" s="15"/>
      <c r="P994" s="15"/>
      <c r="Q994" s="15"/>
      <c r="R994" s="15"/>
      <c r="S994" s="15"/>
      <c r="T994" s="15"/>
      <c r="U994" s="15"/>
      <c r="V994" s="15"/>
      <c r="W994" s="15"/>
    </row>
    <row r="995" spans="2:23" ht="14" customHeight="1" x14ac:dyDescent="0.25">
      <c r="B995" s="21">
        <v>9</v>
      </c>
      <c r="C995" s="21" t="s">
        <v>357</v>
      </c>
      <c r="D995" s="21">
        <v>0.48</v>
      </c>
      <c r="E995" s="53">
        <v>1.7899999999999999E-2</v>
      </c>
      <c r="F995" s="53"/>
      <c r="G995" s="53"/>
      <c r="I995" s="21">
        <v>9</v>
      </c>
      <c r="J995" s="21" t="s">
        <v>357</v>
      </c>
      <c r="K995" s="21">
        <v>2.11</v>
      </c>
      <c r="L995" s="53">
        <v>1.9099999999999999E-2</v>
      </c>
      <c r="O995" s="15"/>
      <c r="P995" s="15"/>
      <c r="Q995" s="15"/>
      <c r="R995" s="15"/>
      <c r="S995" s="15"/>
      <c r="T995" s="15"/>
      <c r="U995" s="15"/>
      <c r="V995" s="15"/>
      <c r="W995" s="15"/>
    </row>
    <row r="996" spans="2:23" ht="14" customHeight="1" x14ac:dyDescent="0.25">
      <c r="B996" s="21">
        <v>10</v>
      </c>
      <c r="C996" s="21" t="s">
        <v>566</v>
      </c>
      <c r="D996" s="21">
        <v>0.48</v>
      </c>
      <c r="E996" s="53">
        <v>1.7899999999999999E-2</v>
      </c>
      <c r="F996" s="53"/>
      <c r="G996" s="53"/>
      <c r="I996" s="21">
        <v>10</v>
      </c>
      <c r="J996" s="21" t="s">
        <v>566</v>
      </c>
      <c r="K996" s="21">
        <v>1.34</v>
      </c>
      <c r="L996" s="53">
        <v>1.2200000000000001E-2</v>
      </c>
      <c r="O996" s="15"/>
      <c r="P996" s="15"/>
      <c r="Q996" s="15"/>
      <c r="R996" s="15"/>
      <c r="S996" s="15"/>
      <c r="T996" s="15"/>
      <c r="U996" s="15"/>
      <c r="V996" s="15"/>
      <c r="W996" s="15"/>
    </row>
    <row r="997" spans="2:23" ht="14" customHeight="1" x14ac:dyDescent="0.25">
      <c r="B997" s="21">
        <v>11</v>
      </c>
      <c r="C997" s="21" t="s">
        <v>554</v>
      </c>
      <c r="D997" s="21">
        <v>0.27</v>
      </c>
      <c r="E997" s="53">
        <v>9.7999999999999997E-3</v>
      </c>
      <c r="F997" s="53"/>
      <c r="G997" s="53"/>
      <c r="I997" s="21">
        <v>11</v>
      </c>
      <c r="J997" s="21" t="s">
        <v>326</v>
      </c>
      <c r="K997" s="21">
        <v>1.01</v>
      </c>
      <c r="L997" s="53">
        <v>9.1000000000000004E-3</v>
      </c>
      <c r="O997" s="15"/>
      <c r="P997" s="15"/>
      <c r="Q997" s="15"/>
      <c r="R997" s="15"/>
      <c r="S997" s="15"/>
      <c r="T997" s="15"/>
      <c r="U997" s="15"/>
      <c r="V997" s="15"/>
      <c r="W997" s="15"/>
    </row>
    <row r="998" spans="2:23" ht="14" customHeight="1" x14ac:dyDescent="0.25">
      <c r="B998" s="21">
        <v>12</v>
      </c>
      <c r="C998" s="21" t="s">
        <v>326</v>
      </c>
      <c r="D998" s="21">
        <v>0.18</v>
      </c>
      <c r="E998" s="53">
        <v>6.4999999999999997E-3</v>
      </c>
      <c r="F998" s="53"/>
      <c r="G998" s="53"/>
      <c r="I998" s="21">
        <v>12</v>
      </c>
      <c r="J998" s="21" t="s">
        <v>509</v>
      </c>
      <c r="K998" s="21">
        <v>0.9</v>
      </c>
      <c r="L998" s="53">
        <v>8.2000000000000007E-3</v>
      </c>
      <c r="O998" s="15"/>
      <c r="P998" s="15"/>
      <c r="Q998" s="15"/>
      <c r="R998" s="15"/>
      <c r="S998" s="15"/>
      <c r="T998" s="15"/>
      <c r="U998" s="15"/>
      <c r="V998" s="15"/>
      <c r="W998" s="15"/>
    </row>
    <row r="999" spans="2:23" ht="14" customHeight="1" x14ac:dyDescent="0.25">
      <c r="B999" s="21">
        <v>13</v>
      </c>
      <c r="C999" s="21" t="s">
        <v>485</v>
      </c>
      <c r="D999" s="21">
        <v>0.12</v>
      </c>
      <c r="E999" s="53">
        <v>4.4999999999999997E-3</v>
      </c>
      <c r="F999" s="53"/>
      <c r="G999" s="53"/>
      <c r="I999" s="21">
        <v>13</v>
      </c>
      <c r="J999" s="21" t="s">
        <v>554</v>
      </c>
      <c r="K999" s="21">
        <v>0.75</v>
      </c>
      <c r="L999" s="53">
        <v>6.7999999999999996E-3</v>
      </c>
      <c r="O999" s="15"/>
      <c r="P999" s="15"/>
      <c r="Q999" s="15"/>
      <c r="R999" s="15"/>
      <c r="S999" s="15"/>
      <c r="T999" s="15"/>
      <c r="U999" s="15"/>
      <c r="V999" s="15"/>
      <c r="W999" s="15"/>
    </row>
    <row r="1000" spans="2:23" ht="14" customHeight="1" x14ac:dyDescent="0.25">
      <c r="B1000" s="21">
        <v>14</v>
      </c>
      <c r="C1000" s="21" t="s">
        <v>426</v>
      </c>
      <c r="D1000" s="21">
        <v>0.12</v>
      </c>
      <c r="E1000" s="53">
        <v>4.3E-3</v>
      </c>
      <c r="F1000" s="53"/>
      <c r="G1000" s="53"/>
      <c r="I1000" s="21">
        <v>14</v>
      </c>
      <c r="J1000" s="21" t="s">
        <v>485</v>
      </c>
      <c r="K1000" s="21">
        <v>0.61</v>
      </c>
      <c r="L1000" s="53">
        <v>5.4999999999999997E-3</v>
      </c>
      <c r="O1000" s="15"/>
      <c r="P1000" s="15"/>
      <c r="Q1000" s="15"/>
      <c r="R1000" s="15"/>
      <c r="S1000" s="15"/>
      <c r="T1000" s="15"/>
      <c r="U1000" s="15"/>
      <c r="V1000" s="15"/>
      <c r="W1000" s="15"/>
    </row>
    <row r="1001" spans="2:23" ht="14" customHeight="1" x14ac:dyDescent="0.25">
      <c r="B1001" s="21">
        <v>15</v>
      </c>
      <c r="C1001" s="21" t="s">
        <v>509</v>
      </c>
      <c r="D1001" s="21">
        <v>0.1</v>
      </c>
      <c r="E1001" s="53">
        <v>3.5999999999999999E-3</v>
      </c>
      <c r="F1001" s="53"/>
      <c r="G1001" s="53"/>
      <c r="I1001" s="21">
        <v>15</v>
      </c>
      <c r="J1001" s="21" t="s">
        <v>426</v>
      </c>
      <c r="K1001" s="21">
        <v>0.55000000000000004</v>
      </c>
      <c r="L1001" s="53">
        <v>5.0000000000000001E-3</v>
      </c>
      <c r="O1001" s="15"/>
      <c r="P1001" s="15"/>
      <c r="Q1001" s="15"/>
      <c r="R1001" s="15"/>
      <c r="S1001" s="15"/>
      <c r="T1001" s="15"/>
      <c r="U1001" s="15"/>
      <c r="V1001" s="15"/>
      <c r="W1001" s="15"/>
    </row>
    <row r="1002" spans="2:23" ht="14" customHeight="1" x14ac:dyDescent="0.25">
      <c r="O1002" s="15"/>
      <c r="P1002" s="15"/>
      <c r="Q1002" s="15"/>
      <c r="R1002" s="15"/>
      <c r="S1002" s="15"/>
      <c r="T1002" s="15"/>
      <c r="U1002" s="15"/>
      <c r="V1002" s="15"/>
      <c r="W1002" s="15"/>
    </row>
    <row r="1003" spans="2:23" ht="14" customHeight="1" x14ac:dyDescent="0.25">
      <c r="O1003" s="15"/>
      <c r="P1003" s="15"/>
      <c r="Q1003" s="15"/>
      <c r="R1003" s="15"/>
      <c r="S1003" s="15"/>
      <c r="T1003" s="15"/>
      <c r="U1003" s="15"/>
      <c r="V1003" s="15"/>
      <c r="W1003" s="15"/>
    </row>
    <row r="1004" spans="2:23" ht="14" customHeight="1" x14ac:dyDescent="0.25">
      <c r="O1004" s="15"/>
      <c r="P1004" s="15"/>
      <c r="Q1004" s="15"/>
      <c r="R1004" s="15"/>
      <c r="S1004" s="15"/>
      <c r="T1004" s="15"/>
      <c r="U1004" s="15"/>
      <c r="V1004" s="15"/>
      <c r="W1004" s="15"/>
    </row>
    <row r="1005" spans="2:23" ht="14" customHeight="1" x14ac:dyDescent="0.25">
      <c r="B1005" s="15" t="s">
        <v>567</v>
      </c>
      <c r="I1005" s="15" t="s">
        <v>568</v>
      </c>
      <c r="O1005" s="15"/>
      <c r="P1005" s="15"/>
      <c r="Q1005" s="15"/>
      <c r="R1005" s="15"/>
      <c r="S1005" s="15"/>
      <c r="T1005" s="15"/>
      <c r="U1005" s="15"/>
      <c r="V1005" s="15"/>
      <c r="W1005" s="15"/>
    </row>
    <row r="1006" spans="2:23" ht="14" customHeight="1" x14ac:dyDescent="0.25">
      <c r="B1006" s="74" t="s">
        <v>334</v>
      </c>
      <c r="C1006" s="75" t="s">
        <v>335</v>
      </c>
      <c r="D1006" s="76" t="s">
        <v>561</v>
      </c>
      <c r="E1006" s="77" t="s">
        <v>337</v>
      </c>
      <c r="F1006" s="21"/>
      <c r="G1006" s="21"/>
      <c r="I1006" s="74" t="s">
        <v>334</v>
      </c>
      <c r="J1006" s="75" t="s">
        <v>335</v>
      </c>
      <c r="K1006" s="76" t="s">
        <v>437</v>
      </c>
      <c r="L1006" s="77" t="s">
        <v>337</v>
      </c>
      <c r="O1006" s="15"/>
      <c r="P1006" s="15"/>
      <c r="Q1006" s="15"/>
      <c r="R1006" s="15"/>
      <c r="S1006" s="15"/>
      <c r="T1006" s="15"/>
      <c r="U1006" s="15"/>
      <c r="V1006" s="15"/>
      <c r="W1006" s="15"/>
    </row>
    <row r="1007" spans="2:23" ht="14" customHeight="1" x14ac:dyDescent="0.25">
      <c r="B1007" s="78">
        <v>1</v>
      </c>
      <c r="C1007" s="21" t="s">
        <v>68</v>
      </c>
      <c r="D1007" s="21">
        <v>8.51</v>
      </c>
      <c r="E1007" s="79">
        <v>0.45850000000000002</v>
      </c>
      <c r="F1007" s="53"/>
      <c r="G1007" s="53"/>
      <c r="I1007" s="78">
        <v>1</v>
      </c>
      <c r="J1007" s="21" t="s">
        <v>68</v>
      </c>
      <c r="K1007" s="21">
        <v>39.1</v>
      </c>
      <c r="L1007" s="79">
        <v>0.47049999999999997</v>
      </c>
      <c r="O1007" s="15"/>
      <c r="P1007" s="15"/>
      <c r="Q1007" s="15"/>
      <c r="R1007" s="15"/>
      <c r="S1007" s="15"/>
      <c r="T1007" s="15"/>
      <c r="U1007" s="15"/>
      <c r="V1007" s="15"/>
      <c r="W1007" s="15"/>
    </row>
    <row r="1008" spans="2:23" ht="14" customHeight="1" x14ac:dyDescent="0.25">
      <c r="B1008" s="78">
        <v>2</v>
      </c>
      <c r="C1008" s="21" t="s">
        <v>69</v>
      </c>
      <c r="D1008" s="21">
        <v>4.09</v>
      </c>
      <c r="E1008" s="79">
        <v>0.22009999999999999</v>
      </c>
      <c r="F1008" s="53"/>
      <c r="G1008" s="53"/>
      <c r="I1008" s="78">
        <v>2</v>
      </c>
      <c r="J1008" s="21" t="s">
        <v>69</v>
      </c>
      <c r="K1008" s="21">
        <v>18.77</v>
      </c>
      <c r="L1008" s="79">
        <v>0.2258</v>
      </c>
      <c r="O1008" s="15"/>
      <c r="P1008" s="15"/>
      <c r="Q1008" s="15"/>
      <c r="R1008" s="15"/>
      <c r="S1008" s="15"/>
      <c r="T1008" s="15"/>
      <c r="U1008" s="15"/>
      <c r="V1008" s="15"/>
      <c r="W1008" s="15"/>
    </row>
    <row r="1009" spans="2:24" ht="14" customHeight="1" x14ac:dyDescent="0.25">
      <c r="B1009" s="78">
        <v>3</v>
      </c>
      <c r="C1009" s="21" t="s">
        <v>71</v>
      </c>
      <c r="D1009" s="21">
        <v>1.64</v>
      </c>
      <c r="E1009" s="79">
        <v>8.8200000000000001E-2</v>
      </c>
      <c r="F1009" s="53"/>
      <c r="G1009" s="53"/>
      <c r="I1009" s="78">
        <v>3</v>
      </c>
      <c r="J1009" s="21" t="s">
        <v>71</v>
      </c>
      <c r="K1009" s="21">
        <v>6.73</v>
      </c>
      <c r="L1009" s="79">
        <v>8.09E-2</v>
      </c>
      <c r="O1009" s="15"/>
      <c r="P1009" s="15"/>
      <c r="Q1009" s="15"/>
      <c r="R1009" s="15"/>
      <c r="S1009" s="15"/>
      <c r="T1009" s="15"/>
      <c r="U1009" s="15"/>
      <c r="V1009" s="15"/>
      <c r="W1009" s="15"/>
    </row>
    <row r="1010" spans="2:24" ht="14" customHeight="1" x14ac:dyDescent="0.25">
      <c r="B1010" s="78">
        <v>4</v>
      </c>
      <c r="C1010" s="21" t="s">
        <v>70</v>
      </c>
      <c r="D1010" s="21">
        <v>0.91</v>
      </c>
      <c r="E1010" s="79">
        <v>4.9200000000000001E-2</v>
      </c>
      <c r="F1010" s="53"/>
      <c r="G1010" s="53"/>
      <c r="I1010" s="78">
        <v>4</v>
      </c>
      <c r="J1010" s="21" t="s">
        <v>70</v>
      </c>
      <c r="K1010" s="21">
        <v>4.1900000000000004</v>
      </c>
      <c r="L1010" s="79">
        <v>5.04E-2</v>
      </c>
      <c r="O1010" s="15"/>
      <c r="P1010" s="15"/>
      <c r="Q1010" s="15"/>
      <c r="R1010" s="15"/>
      <c r="S1010" s="15"/>
      <c r="T1010" s="15"/>
      <c r="U1010" s="15"/>
      <c r="V1010" s="15"/>
      <c r="W1010" s="15"/>
    </row>
    <row r="1011" spans="2:24" ht="14" customHeight="1" x14ac:dyDescent="0.25">
      <c r="B1011" s="78">
        <v>5</v>
      </c>
      <c r="C1011" s="21" t="s">
        <v>129</v>
      </c>
      <c r="D1011" s="21">
        <v>0.54</v>
      </c>
      <c r="E1011" s="79">
        <v>2.8799999999999999E-2</v>
      </c>
      <c r="F1011" s="53"/>
      <c r="G1011" s="53"/>
      <c r="I1011" s="78">
        <v>5</v>
      </c>
      <c r="J1011" s="21" t="s">
        <v>74</v>
      </c>
      <c r="K1011" s="21">
        <v>2.0099999999999998</v>
      </c>
      <c r="L1011" s="79">
        <v>2.4199999999999999E-2</v>
      </c>
      <c r="O1011" s="15"/>
      <c r="P1011" s="15"/>
      <c r="Q1011" s="15"/>
      <c r="R1011" s="15"/>
      <c r="S1011" s="15"/>
      <c r="T1011" s="15"/>
      <c r="U1011" s="15"/>
      <c r="V1011" s="15"/>
      <c r="W1011" s="15"/>
    </row>
    <row r="1012" spans="2:24" ht="14" customHeight="1" x14ac:dyDescent="0.25">
      <c r="B1012" s="78">
        <v>6</v>
      </c>
      <c r="C1012" s="21" t="s">
        <v>73</v>
      </c>
      <c r="D1012" s="21">
        <v>0.5</v>
      </c>
      <c r="E1012" s="79">
        <v>2.7099999999999999E-2</v>
      </c>
      <c r="F1012" s="53"/>
      <c r="G1012" s="53"/>
      <c r="I1012" s="78">
        <v>6</v>
      </c>
      <c r="J1012" s="21" t="s">
        <v>73</v>
      </c>
      <c r="K1012" s="21">
        <v>1.88</v>
      </c>
      <c r="L1012" s="79">
        <v>2.2599999999999999E-2</v>
      </c>
      <c r="O1012" s="15"/>
      <c r="P1012" s="15"/>
      <c r="Q1012" s="15"/>
      <c r="R1012" s="15"/>
      <c r="S1012" s="15"/>
      <c r="T1012" s="15"/>
      <c r="U1012" s="15"/>
      <c r="V1012" s="15"/>
      <c r="W1012" s="15"/>
    </row>
    <row r="1013" spans="2:24" ht="14" customHeight="1" x14ac:dyDescent="0.25">
      <c r="B1013" s="78">
        <v>7</v>
      </c>
      <c r="C1013" s="21" t="s">
        <v>357</v>
      </c>
      <c r="D1013" s="21">
        <v>0.43</v>
      </c>
      <c r="E1013" s="79">
        <v>2.3099999999999999E-2</v>
      </c>
      <c r="F1013" s="53"/>
      <c r="G1013" s="53"/>
      <c r="I1013" s="78">
        <v>7</v>
      </c>
      <c r="J1013" s="21" t="s">
        <v>129</v>
      </c>
      <c r="K1013" s="21">
        <v>1.85</v>
      </c>
      <c r="L1013" s="79">
        <v>2.23E-2</v>
      </c>
      <c r="O1013" s="15"/>
      <c r="P1013" s="15"/>
      <c r="Q1013" s="15"/>
      <c r="R1013" s="15"/>
      <c r="S1013" s="15"/>
      <c r="T1013" s="15"/>
      <c r="U1013" s="15"/>
      <c r="V1013" s="15"/>
      <c r="W1013" s="15"/>
    </row>
    <row r="1014" spans="2:24" ht="14" customHeight="1" x14ac:dyDescent="0.25">
      <c r="B1014" s="78">
        <v>8</v>
      </c>
      <c r="C1014" s="21" t="s">
        <v>74</v>
      </c>
      <c r="D1014" s="21">
        <v>0.37</v>
      </c>
      <c r="E1014" s="79">
        <v>2.01E-2</v>
      </c>
      <c r="F1014" s="53"/>
      <c r="G1014" s="53"/>
      <c r="I1014" s="78">
        <v>8</v>
      </c>
      <c r="J1014" s="21" t="s">
        <v>357</v>
      </c>
      <c r="K1014" s="21">
        <v>1.62</v>
      </c>
      <c r="L1014" s="79">
        <v>1.95E-2</v>
      </c>
      <c r="O1014" s="15"/>
      <c r="P1014" s="15"/>
      <c r="Q1014" s="15"/>
      <c r="R1014" s="15"/>
      <c r="S1014" s="15"/>
      <c r="T1014" s="15"/>
      <c r="U1014" s="15"/>
      <c r="V1014" s="15"/>
      <c r="W1014" s="15"/>
    </row>
    <row r="1015" spans="2:24" ht="14" customHeight="1" x14ac:dyDescent="0.25">
      <c r="B1015" s="78">
        <v>9</v>
      </c>
      <c r="C1015" s="21" t="s">
        <v>509</v>
      </c>
      <c r="D1015" s="21">
        <v>0.22</v>
      </c>
      <c r="E1015" s="79">
        <v>1.21E-2</v>
      </c>
      <c r="F1015" s="53"/>
      <c r="G1015" s="53"/>
      <c r="I1015" s="78">
        <v>9</v>
      </c>
      <c r="J1015" s="21" t="s">
        <v>127</v>
      </c>
      <c r="K1015" s="21">
        <v>1.47</v>
      </c>
      <c r="L1015" s="79">
        <v>1.7600000000000001E-2</v>
      </c>
      <c r="O1015" s="15"/>
      <c r="P1015" s="15"/>
      <c r="Q1015" s="15"/>
      <c r="R1015" s="15"/>
      <c r="S1015" s="15"/>
      <c r="T1015" s="15"/>
      <c r="U1015" s="15"/>
      <c r="V1015" s="15"/>
      <c r="W1015" s="15"/>
      <c r="X1015" s="15"/>
    </row>
    <row r="1016" spans="2:24" ht="14" customHeight="1" x14ac:dyDescent="0.25">
      <c r="B1016" s="78">
        <v>10</v>
      </c>
      <c r="C1016" s="21" t="s">
        <v>566</v>
      </c>
      <c r="D1016" s="21">
        <v>0.22</v>
      </c>
      <c r="E1016" s="79">
        <v>1.1900000000000001E-2</v>
      </c>
      <c r="F1016" s="53"/>
      <c r="G1016" s="53"/>
      <c r="I1016" s="78">
        <v>10</v>
      </c>
      <c r="J1016" s="21" t="s">
        <v>566</v>
      </c>
      <c r="K1016" s="21">
        <v>0.86</v>
      </c>
      <c r="L1016" s="79">
        <v>1.03E-2</v>
      </c>
      <c r="O1016" s="15"/>
      <c r="P1016" s="15"/>
      <c r="Q1016" s="15"/>
      <c r="R1016" s="15"/>
      <c r="S1016" s="15"/>
      <c r="T1016" s="15"/>
      <c r="U1016" s="15"/>
      <c r="V1016" s="15"/>
      <c r="W1016" s="15"/>
      <c r="X1016" s="15"/>
    </row>
    <row r="1017" spans="2:24" ht="14" customHeight="1" x14ac:dyDescent="0.25">
      <c r="B1017" s="78">
        <v>11</v>
      </c>
      <c r="C1017" s="21" t="s">
        <v>326</v>
      </c>
      <c r="D1017" s="21">
        <v>0.2</v>
      </c>
      <c r="E1017" s="79">
        <v>1.09E-2</v>
      </c>
      <c r="F1017" s="53"/>
      <c r="G1017" s="53"/>
      <c r="I1017" s="78">
        <v>11</v>
      </c>
      <c r="J1017" s="21" t="s">
        <v>326</v>
      </c>
      <c r="K1017" s="21">
        <v>0.83</v>
      </c>
      <c r="L1017" s="79">
        <v>0.01</v>
      </c>
      <c r="O1017" s="15"/>
      <c r="P1017" s="15"/>
      <c r="Q1017" s="15"/>
      <c r="R1017" s="15"/>
      <c r="S1017" s="15"/>
      <c r="T1017" s="15"/>
      <c r="U1017" s="15"/>
      <c r="V1017" s="15"/>
      <c r="W1017" s="15"/>
      <c r="X1017" s="15"/>
    </row>
    <row r="1018" spans="2:24" ht="14" customHeight="1" x14ac:dyDescent="0.25">
      <c r="B1018" s="78">
        <v>12</v>
      </c>
      <c r="C1018" s="21" t="s">
        <v>554</v>
      </c>
      <c r="D1018" s="21">
        <v>0.18</v>
      </c>
      <c r="E1018" s="79">
        <v>9.7999999999999997E-3</v>
      </c>
      <c r="F1018" s="53"/>
      <c r="G1018" s="53"/>
      <c r="I1018" s="78">
        <v>12</v>
      </c>
      <c r="J1018" s="21" t="s">
        <v>509</v>
      </c>
      <c r="K1018" s="21">
        <v>0.8</v>
      </c>
      <c r="L1018" s="79">
        <v>9.7000000000000003E-3</v>
      </c>
      <c r="O1018" s="15"/>
      <c r="P1018" s="15"/>
      <c r="Q1018" s="15"/>
      <c r="R1018" s="15"/>
      <c r="S1018" s="15"/>
      <c r="T1018" s="15"/>
      <c r="U1018" s="15"/>
      <c r="V1018" s="15"/>
      <c r="W1018" s="15"/>
      <c r="X1018" s="15"/>
    </row>
    <row r="1019" spans="2:24" ht="14" customHeight="1" x14ac:dyDescent="0.25">
      <c r="B1019" s="78">
        <v>13</v>
      </c>
      <c r="C1019" s="21" t="s">
        <v>127</v>
      </c>
      <c r="D1019" s="21">
        <v>0.13</v>
      </c>
      <c r="E1019" s="79">
        <v>7.1999999999999998E-3</v>
      </c>
      <c r="F1019" s="53"/>
      <c r="G1019" s="53"/>
      <c r="I1019" s="78">
        <v>13</v>
      </c>
      <c r="J1019" s="21" t="s">
        <v>554</v>
      </c>
      <c r="K1019" s="21">
        <v>0.49</v>
      </c>
      <c r="L1019" s="79">
        <v>5.8999999999999999E-3</v>
      </c>
      <c r="O1019" s="15"/>
      <c r="P1019" s="15"/>
      <c r="Q1019" s="15"/>
      <c r="R1019" s="15"/>
      <c r="S1019" s="15"/>
      <c r="T1019" s="15"/>
      <c r="U1019" s="15"/>
      <c r="V1019" s="15"/>
      <c r="W1019" s="15"/>
      <c r="X1019" s="15"/>
    </row>
    <row r="1020" spans="2:24" ht="14" customHeight="1" x14ac:dyDescent="0.25">
      <c r="B1020" s="78">
        <v>14</v>
      </c>
      <c r="C1020" s="21" t="s">
        <v>426</v>
      </c>
      <c r="D1020" s="21">
        <v>0.13</v>
      </c>
      <c r="E1020" s="79">
        <v>6.7999999999999996E-3</v>
      </c>
      <c r="F1020" s="53"/>
      <c r="G1020" s="53"/>
      <c r="I1020" s="78">
        <v>14</v>
      </c>
      <c r="J1020" s="21" t="s">
        <v>485</v>
      </c>
      <c r="K1020" s="21">
        <v>0.49</v>
      </c>
      <c r="L1020" s="79">
        <v>5.7999999999999996E-3</v>
      </c>
      <c r="O1020" s="15"/>
      <c r="P1020" s="15"/>
      <c r="Q1020" s="15"/>
      <c r="R1020" s="15"/>
      <c r="S1020" s="15"/>
      <c r="T1020" s="15"/>
      <c r="U1020" s="15"/>
      <c r="V1020" s="15"/>
      <c r="W1020" s="15"/>
      <c r="X1020" s="15"/>
    </row>
    <row r="1021" spans="2:24" ht="14" customHeight="1" x14ac:dyDescent="0.25">
      <c r="B1021" s="80">
        <v>15</v>
      </c>
      <c r="C1021" s="81" t="s">
        <v>485</v>
      </c>
      <c r="D1021" s="81">
        <v>0.1</v>
      </c>
      <c r="E1021" s="82">
        <v>5.3E-3</v>
      </c>
      <c r="F1021" s="53"/>
      <c r="G1021" s="53"/>
      <c r="I1021" s="80">
        <v>15</v>
      </c>
      <c r="J1021" s="81" t="s">
        <v>426</v>
      </c>
      <c r="K1021" s="81">
        <v>0.43</v>
      </c>
      <c r="L1021" s="82">
        <v>5.1999999999999998E-3</v>
      </c>
      <c r="O1021" s="15"/>
      <c r="P1021" s="15"/>
      <c r="Q1021" s="15"/>
      <c r="R1021" s="15"/>
      <c r="S1021" s="15"/>
      <c r="T1021" s="15"/>
      <c r="U1021" s="15"/>
      <c r="V1021" s="15"/>
      <c r="W1021" s="15"/>
      <c r="X1021" s="15"/>
    </row>
    <row r="1022" spans="2:24" ht="14" customHeight="1" x14ac:dyDescent="0.25">
      <c r="O1022" s="15"/>
      <c r="P1022" s="15"/>
      <c r="Q1022" s="15"/>
      <c r="R1022" s="15"/>
      <c r="S1022" s="15"/>
      <c r="T1022" s="15"/>
      <c r="U1022" s="15"/>
      <c r="V1022" s="15"/>
      <c r="W1022" s="15"/>
      <c r="X1022" s="15"/>
    </row>
    <row r="1023" spans="2:24" ht="14" customHeight="1" x14ac:dyDescent="0.25">
      <c r="O1023" s="15"/>
      <c r="P1023" s="15"/>
      <c r="Q1023" s="15"/>
      <c r="R1023" s="15"/>
      <c r="S1023" s="15"/>
      <c r="T1023" s="15"/>
      <c r="U1023" s="15"/>
      <c r="V1023" s="15"/>
      <c r="W1023" s="15"/>
      <c r="X1023" s="15"/>
    </row>
    <row r="1024" spans="2:24" ht="14" customHeight="1" x14ac:dyDescent="0.25">
      <c r="O1024" s="15"/>
      <c r="P1024" s="15"/>
      <c r="Q1024" s="15"/>
      <c r="R1024" s="15"/>
      <c r="S1024" s="15"/>
      <c r="T1024" s="15"/>
      <c r="U1024" s="15"/>
      <c r="V1024" s="15"/>
      <c r="W1024" s="15"/>
      <c r="X1024" s="15"/>
    </row>
    <row r="1025" spans="2:24" ht="14" customHeight="1" x14ac:dyDescent="0.25">
      <c r="B1025" s="15" t="s">
        <v>569</v>
      </c>
      <c r="I1025" s="15" t="s">
        <v>570</v>
      </c>
      <c r="O1025" s="15"/>
      <c r="P1025" s="15"/>
      <c r="Q1025" s="15"/>
      <c r="R1025" s="15"/>
      <c r="S1025" s="15"/>
      <c r="T1025" s="15"/>
      <c r="U1025" s="15"/>
      <c r="V1025" s="15"/>
      <c r="W1025" s="15"/>
      <c r="X1025" s="15"/>
    </row>
    <row r="1026" spans="2:24" ht="14" customHeight="1" x14ac:dyDescent="0.25">
      <c r="B1026" s="83" t="s">
        <v>334</v>
      </c>
      <c r="C1026" s="84" t="s">
        <v>335</v>
      </c>
      <c r="D1026" s="85" t="s">
        <v>561</v>
      </c>
      <c r="E1026" s="86" t="s">
        <v>337</v>
      </c>
      <c r="F1026" s="21"/>
      <c r="G1026" s="21"/>
      <c r="I1026" s="74" t="s">
        <v>334</v>
      </c>
      <c r="J1026" s="75" t="s">
        <v>335</v>
      </c>
      <c r="K1026" s="76" t="s">
        <v>437</v>
      </c>
      <c r="L1026" s="77" t="s">
        <v>337</v>
      </c>
      <c r="O1026" s="15"/>
      <c r="P1026" s="15"/>
      <c r="Q1026" s="15"/>
      <c r="R1026" s="15"/>
      <c r="S1026" s="15"/>
      <c r="T1026" s="15"/>
      <c r="U1026" s="15"/>
      <c r="V1026" s="15"/>
      <c r="W1026" s="15"/>
      <c r="X1026" s="15"/>
    </row>
    <row r="1027" spans="2:24" ht="14" customHeight="1" x14ac:dyDescent="0.25">
      <c r="B1027" s="83">
        <v>1</v>
      </c>
      <c r="C1027" s="84" t="s">
        <v>68</v>
      </c>
      <c r="D1027" s="87">
        <v>5.08</v>
      </c>
      <c r="E1027" s="88">
        <v>0.38279999999999997</v>
      </c>
      <c r="F1027" s="53"/>
      <c r="G1027" s="53"/>
      <c r="I1027" s="83">
        <v>1</v>
      </c>
      <c r="J1027" s="84" t="s">
        <v>68</v>
      </c>
      <c r="K1027" s="87">
        <v>30.59</v>
      </c>
      <c r="L1027" s="88">
        <v>0.47389999999999999</v>
      </c>
      <c r="O1027" s="15"/>
      <c r="P1027" s="15"/>
      <c r="Q1027" s="15"/>
      <c r="R1027" s="15"/>
      <c r="S1027" s="15"/>
      <c r="T1027" s="15"/>
      <c r="U1027" s="15"/>
      <c r="V1027" s="15"/>
      <c r="W1027" s="15"/>
      <c r="X1027" s="15"/>
    </row>
    <row r="1028" spans="2:24" ht="14" customHeight="1" x14ac:dyDescent="0.25">
      <c r="B1028" s="78">
        <v>2</v>
      </c>
      <c r="C1028" s="21" t="s">
        <v>69</v>
      </c>
      <c r="D1028" s="49">
        <v>4.2699999999999996</v>
      </c>
      <c r="E1028" s="79">
        <v>0.32179999999999997</v>
      </c>
      <c r="F1028" s="53"/>
      <c r="G1028" s="53"/>
      <c r="I1028" s="78">
        <v>2</v>
      </c>
      <c r="J1028" s="21" t="s">
        <v>69</v>
      </c>
      <c r="K1028" s="49">
        <v>14.68</v>
      </c>
      <c r="L1028" s="79">
        <v>0.22750000000000001</v>
      </c>
      <c r="O1028" s="15"/>
      <c r="P1028" s="15"/>
      <c r="Q1028" s="15"/>
      <c r="R1028" s="15"/>
      <c r="S1028" s="15"/>
      <c r="T1028" s="15"/>
      <c r="U1028" s="15"/>
      <c r="V1028" s="15"/>
      <c r="W1028" s="15"/>
      <c r="X1028" s="15"/>
    </row>
    <row r="1029" spans="2:24" ht="14" customHeight="1" x14ac:dyDescent="0.25">
      <c r="B1029" s="78">
        <v>3</v>
      </c>
      <c r="C1029" s="21" t="s">
        <v>71</v>
      </c>
      <c r="D1029" s="49">
        <v>0.9</v>
      </c>
      <c r="E1029" s="79">
        <v>6.7900000000000002E-2</v>
      </c>
      <c r="F1029" s="53"/>
      <c r="G1029" s="53"/>
      <c r="I1029" s="78">
        <v>3</v>
      </c>
      <c r="J1029" s="21" t="s">
        <v>71</v>
      </c>
      <c r="K1029" s="49">
        <v>5.09</v>
      </c>
      <c r="L1029" s="79">
        <v>7.8899999999999998E-2</v>
      </c>
      <c r="M1029" s="45"/>
      <c r="N1029" s="45"/>
      <c r="O1029" s="15"/>
      <c r="P1029" s="15"/>
      <c r="Q1029" s="15"/>
      <c r="R1029" s="15"/>
      <c r="S1029" s="15"/>
      <c r="T1029" s="15"/>
      <c r="U1029" s="15"/>
      <c r="V1029" s="15"/>
      <c r="W1029" s="15"/>
      <c r="X1029" s="15"/>
    </row>
    <row r="1030" spans="2:24" ht="14" customHeight="1" x14ac:dyDescent="0.25">
      <c r="B1030" s="78">
        <v>4</v>
      </c>
      <c r="C1030" s="21" t="s">
        <v>70</v>
      </c>
      <c r="D1030" s="49">
        <v>0.7</v>
      </c>
      <c r="E1030" s="79">
        <v>5.3100000000000001E-2</v>
      </c>
      <c r="F1030" s="53"/>
      <c r="G1030" s="53"/>
      <c r="I1030" s="78">
        <v>4</v>
      </c>
      <c r="J1030" s="21" t="s">
        <v>70</v>
      </c>
      <c r="K1030" s="49">
        <v>3.27</v>
      </c>
      <c r="L1030" s="79">
        <v>5.0700000000000002E-2</v>
      </c>
      <c r="M1030" s="17"/>
      <c r="N1030" s="17"/>
      <c r="O1030" s="15"/>
      <c r="P1030" s="15"/>
      <c r="Q1030" s="15"/>
      <c r="R1030" s="15"/>
      <c r="S1030" s="15"/>
      <c r="T1030" s="15"/>
      <c r="U1030" s="15"/>
      <c r="V1030" s="15"/>
      <c r="W1030" s="15"/>
      <c r="X1030" s="15"/>
    </row>
    <row r="1031" spans="2:24" ht="14" customHeight="1" x14ac:dyDescent="0.25">
      <c r="B1031" s="78">
        <v>5</v>
      </c>
      <c r="C1031" s="21" t="s">
        <v>129</v>
      </c>
      <c r="D1031" s="49">
        <v>0.51</v>
      </c>
      <c r="E1031" s="79">
        <v>3.8100000000000002E-2</v>
      </c>
      <c r="F1031" s="53"/>
      <c r="G1031" s="53"/>
      <c r="I1031" s="78">
        <v>5</v>
      </c>
      <c r="J1031" s="21" t="s">
        <v>74</v>
      </c>
      <c r="K1031" s="49">
        <v>1.64</v>
      </c>
      <c r="L1031" s="79">
        <v>2.5399999999999999E-2</v>
      </c>
      <c r="M1031" s="17"/>
      <c r="N1031" s="17"/>
      <c r="O1031" s="15"/>
      <c r="P1031" s="15"/>
      <c r="Q1031" s="15"/>
      <c r="R1031" s="15"/>
      <c r="S1031" s="15"/>
      <c r="T1031" s="15"/>
      <c r="U1031" s="15"/>
      <c r="V1031" s="15"/>
      <c r="W1031" s="15"/>
      <c r="X1031" s="15"/>
    </row>
    <row r="1032" spans="2:24" ht="14" customHeight="1" x14ac:dyDescent="0.25">
      <c r="B1032" s="78">
        <v>6</v>
      </c>
      <c r="C1032" s="21" t="s">
        <v>74</v>
      </c>
      <c r="D1032" s="49">
        <v>0.36</v>
      </c>
      <c r="E1032" s="79">
        <v>2.7E-2</v>
      </c>
      <c r="F1032" s="53"/>
      <c r="G1032" s="53"/>
      <c r="I1032" s="78">
        <v>6</v>
      </c>
      <c r="J1032" s="21" t="s">
        <v>73</v>
      </c>
      <c r="K1032" s="49">
        <v>1.38</v>
      </c>
      <c r="L1032" s="79">
        <v>2.1399999999999999E-2</v>
      </c>
      <c r="M1032" s="17"/>
      <c r="N1032" s="17"/>
      <c r="O1032" s="15"/>
      <c r="P1032" s="15"/>
      <c r="Q1032" s="15"/>
      <c r="R1032" s="15"/>
      <c r="S1032" s="15"/>
      <c r="T1032" s="15"/>
      <c r="U1032" s="15"/>
      <c r="V1032" s="15"/>
      <c r="W1032" s="25"/>
      <c r="X1032" s="27"/>
    </row>
    <row r="1033" spans="2:24" ht="14" customHeight="1" x14ac:dyDescent="0.25">
      <c r="B1033" s="78">
        <v>7</v>
      </c>
      <c r="C1033" s="21" t="s">
        <v>73</v>
      </c>
      <c r="D1033" s="49">
        <v>0.28999999999999998</v>
      </c>
      <c r="E1033" s="79">
        <v>2.1499999999999998E-2</v>
      </c>
      <c r="F1033" s="53"/>
      <c r="G1033" s="53"/>
      <c r="I1033" s="78">
        <v>7</v>
      </c>
      <c r="J1033" s="21" t="s">
        <v>127</v>
      </c>
      <c r="K1033" s="49">
        <v>1.33</v>
      </c>
      <c r="L1033" s="79">
        <v>2.06E-2</v>
      </c>
      <c r="M1033" s="17"/>
      <c r="N1033" s="17"/>
      <c r="O1033" s="15"/>
      <c r="P1033" s="15"/>
      <c r="Q1033" s="15"/>
      <c r="R1033" s="15"/>
      <c r="S1033" s="15"/>
      <c r="T1033" s="15"/>
      <c r="U1033" s="15"/>
      <c r="V1033" s="15"/>
      <c r="W1033" s="25"/>
      <c r="X1033" s="27"/>
    </row>
    <row r="1034" spans="2:24" ht="14" customHeight="1" x14ac:dyDescent="0.25">
      <c r="B1034" s="78">
        <v>8</v>
      </c>
      <c r="C1034" s="21" t="s">
        <v>357</v>
      </c>
      <c r="D1034" s="49">
        <v>0.26</v>
      </c>
      <c r="E1034" s="79">
        <v>1.95E-2</v>
      </c>
      <c r="F1034" s="53"/>
      <c r="G1034" s="53"/>
      <c r="I1034" s="78">
        <v>8</v>
      </c>
      <c r="J1034" s="21" t="s">
        <v>129</v>
      </c>
      <c r="K1034" s="49">
        <v>1.32</v>
      </c>
      <c r="L1034" s="79">
        <v>2.0400000000000001E-2</v>
      </c>
      <c r="M1034" s="17"/>
      <c r="N1034" s="17"/>
      <c r="O1034" s="15"/>
      <c r="P1034" s="15"/>
      <c r="Q1034" s="15"/>
      <c r="R1034" s="15"/>
      <c r="S1034" s="15"/>
      <c r="T1034" s="15"/>
      <c r="U1034" s="15"/>
      <c r="V1034" s="15"/>
      <c r="W1034" s="15"/>
      <c r="X1034" s="15"/>
    </row>
    <row r="1035" spans="2:24" ht="14" customHeight="1" x14ac:dyDescent="0.25">
      <c r="B1035" s="78">
        <v>9</v>
      </c>
      <c r="C1035" s="21" t="s">
        <v>566</v>
      </c>
      <c r="D1035" s="49">
        <v>0.23</v>
      </c>
      <c r="E1035" s="79">
        <v>1.7600000000000001E-2</v>
      </c>
      <c r="F1035" s="53"/>
      <c r="G1035" s="53"/>
      <c r="I1035" s="78">
        <v>9</v>
      </c>
      <c r="J1035" s="21" t="s">
        <v>357</v>
      </c>
      <c r="K1035" s="49">
        <v>1.2</v>
      </c>
      <c r="L1035" s="79">
        <v>1.8499999999999999E-2</v>
      </c>
      <c r="M1035" s="17"/>
      <c r="N1035" s="17"/>
      <c r="O1035" s="15"/>
      <c r="P1035" s="15"/>
      <c r="Q1035" s="15"/>
      <c r="R1035" s="15"/>
      <c r="S1035" s="15"/>
      <c r="T1035" s="15"/>
      <c r="U1035" s="15"/>
      <c r="V1035" s="15"/>
      <c r="W1035" s="15"/>
      <c r="X1035" s="15"/>
    </row>
    <row r="1036" spans="2:24" ht="14" customHeight="1" x14ac:dyDescent="0.25">
      <c r="B1036" s="78">
        <v>10</v>
      </c>
      <c r="C1036" s="21" t="s">
        <v>326</v>
      </c>
      <c r="D1036" s="49">
        <v>0.14000000000000001</v>
      </c>
      <c r="E1036" s="79">
        <v>1.0800000000000001E-2</v>
      </c>
      <c r="F1036" s="53"/>
      <c r="G1036" s="53"/>
      <c r="I1036" s="78">
        <v>10</v>
      </c>
      <c r="J1036" s="21" t="s">
        <v>566</v>
      </c>
      <c r="K1036" s="49">
        <v>0.64</v>
      </c>
      <c r="L1036" s="79">
        <v>9.9000000000000008E-3</v>
      </c>
      <c r="M1036" s="17"/>
      <c r="N1036" s="17"/>
      <c r="O1036" s="15"/>
      <c r="P1036" s="15"/>
      <c r="Q1036" s="15"/>
      <c r="R1036" s="15"/>
      <c r="S1036" s="15"/>
      <c r="T1036" s="15"/>
      <c r="U1036" s="15"/>
      <c r="V1036" s="15"/>
      <c r="W1036" s="15"/>
      <c r="X1036" s="15"/>
    </row>
    <row r="1037" spans="2:24" ht="14" customHeight="1" x14ac:dyDescent="0.25">
      <c r="B1037" s="78">
        <v>11</v>
      </c>
      <c r="C1037" s="21" t="s">
        <v>485</v>
      </c>
      <c r="D1037" s="49">
        <v>0.09</v>
      </c>
      <c r="E1037" s="79">
        <v>7.1000000000000004E-3</v>
      </c>
      <c r="F1037" s="53"/>
      <c r="G1037" s="53"/>
      <c r="I1037" s="78">
        <v>11</v>
      </c>
      <c r="J1037" s="21" t="s">
        <v>326</v>
      </c>
      <c r="K1037" s="49">
        <v>0.63</v>
      </c>
      <c r="L1037" s="79">
        <v>9.7000000000000003E-3</v>
      </c>
      <c r="M1037" s="17"/>
      <c r="N1037" s="17"/>
      <c r="O1037" s="15"/>
      <c r="P1037" s="15"/>
      <c r="Q1037" s="15"/>
      <c r="R1037" s="15"/>
      <c r="S1037" s="15"/>
      <c r="T1037" s="15"/>
      <c r="U1037" s="15"/>
      <c r="V1037" s="15"/>
      <c r="W1037" s="15"/>
      <c r="X1037" s="15"/>
    </row>
    <row r="1038" spans="2:24" ht="14" customHeight="1" x14ac:dyDescent="0.25">
      <c r="B1038" s="78">
        <v>12</v>
      </c>
      <c r="C1038" s="21" t="s">
        <v>127</v>
      </c>
      <c r="D1038" s="49">
        <v>7.0000000000000007E-2</v>
      </c>
      <c r="E1038" s="79">
        <v>5.4000000000000003E-3</v>
      </c>
      <c r="F1038" s="53"/>
      <c r="G1038" s="53"/>
      <c r="I1038" s="78">
        <v>12</v>
      </c>
      <c r="J1038" s="21" t="s">
        <v>509</v>
      </c>
      <c r="K1038" s="49">
        <v>0.57999999999999996</v>
      </c>
      <c r="L1038" s="79">
        <v>8.9999999999999993E-3</v>
      </c>
      <c r="M1038" s="17"/>
      <c r="N1038" s="17"/>
      <c r="O1038" s="15"/>
      <c r="P1038" s="15"/>
      <c r="Q1038" s="15"/>
      <c r="R1038" s="15"/>
      <c r="S1038" s="15"/>
      <c r="T1038" s="15"/>
      <c r="U1038" s="15"/>
      <c r="V1038" s="15"/>
      <c r="W1038" s="15"/>
      <c r="X1038" s="15"/>
    </row>
    <row r="1039" spans="2:24" ht="14" customHeight="1" x14ac:dyDescent="0.25">
      <c r="B1039" s="78">
        <v>13</v>
      </c>
      <c r="C1039" s="21" t="s">
        <v>509</v>
      </c>
      <c r="D1039" s="49">
        <v>0.05</v>
      </c>
      <c r="E1039" s="79">
        <v>4.0000000000000001E-3</v>
      </c>
      <c r="F1039" s="53"/>
      <c r="G1039" s="53"/>
      <c r="I1039" s="78">
        <v>13</v>
      </c>
      <c r="J1039" s="21" t="s">
        <v>485</v>
      </c>
      <c r="K1039" s="49">
        <v>0.39</v>
      </c>
      <c r="L1039" s="79">
        <v>6.0000000000000001E-3</v>
      </c>
      <c r="M1039" s="17"/>
      <c r="N1039" s="17"/>
      <c r="O1039" s="15"/>
      <c r="P1039" s="15"/>
      <c r="Q1039" s="15"/>
      <c r="R1039" s="15"/>
      <c r="S1039" s="15"/>
      <c r="T1039" s="15"/>
      <c r="U1039" s="15"/>
      <c r="V1039" s="15"/>
      <c r="W1039" s="25"/>
      <c r="X1039" s="27"/>
    </row>
    <row r="1040" spans="2:24" ht="14" customHeight="1" x14ac:dyDescent="0.25">
      <c r="B1040" s="78">
        <v>14</v>
      </c>
      <c r="C1040" s="21" t="s">
        <v>426</v>
      </c>
      <c r="D1040" s="49">
        <v>0.05</v>
      </c>
      <c r="E1040" s="79">
        <v>3.5000000000000001E-3</v>
      </c>
      <c r="F1040" s="53"/>
      <c r="G1040" s="53"/>
      <c r="I1040" s="78">
        <v>14</v>
      </c>
      <c r="J1040" s="21" t="s">
        <v>554</v>
      </c>
      <c r="K1040" s="49">
        <v>0.3</v>
      </c>
      <c r="L1040" s="79">
        <v>4.7000000000000002E-3</v>
      </c>
      <c r="M1040" s="17"/>
      <c r="N1040" s="17"/>
      <c r="O1040" s="15"/>
      <c r="P1040" s="15"/>
      <c r="Q1040" s="15"/>
      <c r="R1040" s="15"/>
      <c r="S1040" s="15"/>
      <c r="T1040" s="15"/>
      <c r="U1040" s="15"/>
      <c r="V1040" s="15"/>
      <c r="W1040" s="15"/>
      <c r="X1040" s="15"/>
    </row>
    <row r="1041" spans="2:24" ht="14" customHeight="1" x14ac:dyDescent="0.25">
      <c r="B1041" s="80">
        <v>15</v>
      </c>
      <c r="C1041" s="81" t="s">
        <v>571</v>
      </c>
      <c r="D1041" s="81">
        <v>0.04</v>
      </c>
      <c r="E1041" s="82">
        <v>2.8999999999999998E-3</v>
      </c>
      <c r="F1041" s="53"/>
      <c r="G1041" s="53"/>
      <c r="I1041" s="80">
        <v>15</v>
      </c>
      <c r="J1041" s="81" t="s">
        <v>426</v>
      </c>
      <c r="K1041" s="89">
        <v>0.3</v>
      </c>
      <c r="L1041" s="82">
        <v>4.7000000000000002E-3</v>
      </c>
      <c r="M1041" s="17"/>
      <c r="N1041" s="17"/>
      <c r="O1041" s="15"/>
      <c r="P1041" s="15"/>
      <c r="Q1041" s="15"/>
      <c r="R1041" s="15"/>
      <c r="S1041" s="15"/>
      <c r="T1041" s="15"/>
      <c r="U1041" s="15"/>
      <c r="V1041" s="15"/>
      <c r="W1041" s="15"/>
      <c r="X1041" s="15"/>
    </row>
    <row r="1042" spans="2:24" ht="14" customHeight="1" x14ac:dyDescent="0.25">
      <c r="M1042" s="17"/>
      <c r="N1042" s="17"/>
      <c r="O1042" s="15"/>
      <c r="P1042" s="15"/>
      <c r="Q1042" s="15"/>
      <c r="R1042" s="15"/>
      <c r="S1042" s="15"/>
      <c r="T1042" s="15"/>
      <c r="U1042" s="15"/>
      <c r="V1042" s="15"/>
      <c r="W1042" s="15"/>
      <c r="X1042" s="15"/>
    </row>
    <row r="1043" spans="2:24" ht="14" customHeight="1" x14ac:dyDescent="0.25">
      <c r="M1043" s="17"/>
      <c r="N1043" s="17"/>
      <c r="O1043" s="15"/>
      <c r="P1043" s="15"/>
      <c r="Q1043" s="15"/>
      <c r="R1043" s="15"/>
      <c r="S1043" s="15"/>
      <c r="T1043" s="15"/>
      <c r="U1043" s="15"/>
      <c r="V1043" s="15"/>
      <c r="W1043" s="15"/>
      <c r="X1043" s="15"/>
    </row>
    <row r="1044" spans="2:24" ht="14" customHeight="1" x14ac:dyDescent="0.25">
      <c r="M1044" s="17"/>
      <c r="N1044" s="17"/>
      <c r="O1044" s="15"/>
      <c r="P1044" s="15"/>
      <c r="Q1044" s="15"/>
      <c r="R1044" s="15"/>
      <c r="S1044" s="15"/>
      <c r="T1044" s="15"/>
      <c r="U1044" s="15"/>
      <c r="V1044" s="15"/>
      <c r="W1044" s="15"/>
      <c r="X1044" s="15"/>
    </row>
    <row r="1045" spans="2:24" ht="14" customHeight="1" x14ac:dyDescent="0.25">
      <c r="B1045" s="15" t="s">
        <v>572</v>
      </c>
      <c r="I1045" s="15" t="s">
        <v>573</v>
      </c>
      <c r="M1045" s="17"/>
      <c r="N1045" s="17"/>
      <c r="O1045" s="15"/>
      <c r="P1045" s="15"/>
      <c r="Q1045" s="15"/>
      <c r="R1045" s="15"/>
      <c r="S1045" s="15"/>
      <c r="T1045" s="15"/>
      <c r="U1045" s="15"/>
      <c r="V1045" s="15"/>
      <c r="W1045" s="15"/>
      <c r="X1045" s="15"/>
    </row>
    <row r="1046" spans="2:24" ht="14" customHeight="1" x14ac:dyDescent="0.25">
      <c r="B1046" s="90" t="s">
        <v>334</v>
      </c>
      <c r="C1046" s="76" t="s">
        <v>335</v>
      </c>
      <c r="D1046" s="76" t="s">
        <v>574</v>
      </c>
      <c r="E1046" s="91" t="s">
        <v>337</v>
      </c>
      <c r="F1046" s="9"/>
      <c r="G1046" s="9"/>
      <c r="I1046" s="90" t="s">
        <v>334</v>
      </c>
      <c r="J1046" s="76" t="s">
        <v>335</v>
      </c>
      <c r="K1046" s="76" t="s">
        <v>574</v>
      </c>
      <c r="L1046" s="92" t="s">
        <v>337</v>
      </c>
      <c r="O1046" s="15"/>
      <c r="P1046" s="15"/>
      <c r="Q1046" s="25"/>
      <c r="R1046" s="27"/>
      <c r="S1046" s="25"/>
      <c r="U1046" s="15"/>
      <c r="V1046" s="15"/>
      <c r="W1046" s="25"/>
      <c r="X1046" s="27"/>
    </row>
    <row r="1047" spans="2:24" ht="14" customHeight="1" x14ac:dyDescent="0.25">
      <c r="B1047" s="93">
        <v>1</v>
      </c>
      <c r="C1047" s="66" t="s">
        <v>98</v>
      </c>
      <c r="D1047" s="66">
        <v>10.81</v>
      </c>
      <c r="E1047" s="94">
        <v>0.50490000000000002</v>
      </c>
      <c r="F1047" s="17"/>
      <c r="G1047" s="17"/>
      <c r="I1047" s="93">
        <v>1</v>
      </c>
      <c r="J1047" s="66" t="s">
        <v>98</v>
      </c>
      <c r="K1047" s="66">
        <v>25.51</v>
      </c>
      <c r="L1047" s="94">
        <v>0.4975</v>
      </c>
      <c r="O1047" s="15"/>
      <c r="P1047" s="15"/>
      <c r="Q1047" s="25"/>
      <c r="R1047" s="27"/>
      <c r="S1047" s="25"/>
      <c r="U1047" s="15"/>
      <c r="V1047" s="15"/>
      <c r="W1047" s="25"/>
      <c r="X1047" s="27"/>
    </row>
    <row r="1048" spans="2:24" ht="14" customHeight="1" x14ac:dyDescent="0.25">
      <c r="B1048" s="95">
        <v>2</v>
      </c>
      <c r="C1048" s="15" t="s">
        <v>99</v>
      </c>
      <c r="D1048" s="15">
        <v>4.12</v>
      </c>
      <c r="E1048" s="96">
        <v>0.19239999999999999</v>
      </c>
      <c r="F1048" s="17"/>
      <c r="G1048" s="17"/>
      <c r="I1048" s="95">
        <v>2</v>
      </c>
      <c r="J1048" s="15" t="s">
        <v>99</v>
      </c>
      <c r="K1048" s="15">
        <v>10.41</v>
      </c>
      <c r="L1048" s="96">
        <v>0.2031</v>
      </c>
      <c r="M1048" s="45"/>
      <c r="N1048" s="45"/>
      <c r="O1048" s="15"/>
      <c r="P1048" s="15"/>
      <c r="Q1048" s="15"/>
      <c r="R1048" s="15"/>
      <c r="S1048" s="15"/>
      <c r="T1048" s="15"/>
      <c r="U1048" s="15"/>
      <c r="V1048" s="15"/>
      <c r="W1048" s="15"/>
      <c r="X1048" s="15"/>
    </row>
    <row r="1049" spans="2:24" ht="14" customHeight="1" x14ac:dyDescent="0.25">
      <c r="B1049" s="95">
        <v>3</v>
      </c>
      <c r="C1049" s="15" t="s">
        <v>100</v>
      </c>
      <c r="D1049" s="15">
        <v>1.84</v>
      </c>
      <c r="E1049" s="96">
        <v>8.5800000000000001E-2</v>
      </c>
      <c r="F1049" s="17"/>
      <c r="G1049" s="17"/>
      <c r="I1049" s="95">
        <v>3</v>
      </c>
      <c r="J1049" s="15" t="s">
        <v>100</v>
      </c>
      <c r="K1049" s="15">
        <v>4.1900000000000004</v>
      </c>
      <c r="L1049" s="96">
        <v>8.1699999999999995E-2</v>
      </c>
      <c r="M1049" s="17"/>
      <c r="N1049" s="17"/>
      <c r="O1049" s="15"/>
      <c r="P1049" s="15"/>
      <c r="Q1049" s="15"/>
      <c r="R1049" s="15"/>
      <c r="S1049" s="15"/>
      <c r="T1049" s="15"/>
      <c r="U1049" s="15"/>
      <c r="V1049" s="15"/>
      <c r="W1049" s="15"/>
      <c r="X1049" s="15"/>
    </row>
    <row r="1050" spans="2:24" ht="14" customHeight="1" x14ac:dyDescent="0.25">
      <c r="B1050" s="95">
        <v>4</v>
      </c>
      <c r="C1050" s="15" t="s">
        <v>101</v>
      </c>
      <c r="D1050" s="15">
        <v>0.93</v>
      </c>
      <c r="E1050" s="96">
        <v>4.3400000000000001E-2</v>
      </c>
      <c r="F1050" s="17"/>
      <c r="G1050" s="17"/>
      <c r="I1050" s="95">
        <v>4</v>
      </c>
      <c r="J1050" s="15" t="s">
        <v>101</v>
      </c>
      <c r="K1050" s="15">
        <v>2.57</v>
      </c>
      <c r="L1050" s="96">
        <v>5.0099999999999999E-2</v>
      </c>
      <c r="M1050" s="16"/>
      <c r="N1050" s="16"/>
      <c r="O1050" s="15"/>
      <c r="P1050" s="15"/>
      <c r="Q1050" s="15"/>
      <c r="R1050" s="15"/>
      <c r="S1050" s="15"/>
      <c r="T1050" s="15"/>
      <c r="U1050" s="15"/>
      <c r="V1050" s="15"/>
      <c r="W1050" s="15"/>
      <c r="X1050" s="15"/>
    </row>
    <row r="1051" spans="2:24" ht="14" customHeight="1" x14ac:dyDescent="0.25">
      <c r="B1051" s="95">
        <v>5</v>
      </c>
      <c r="C1051" s="15" t="s">
        <v>172</v>
      </c>
      <c r="D1051" s="15">
        <v>0.79</v>
      </c>
      <c r="E1051" s="96">
        <v>3.7100000000000001E-2</v>
      </c>
      <c r="F1051" s="17"/>
      <c r="G1051" s="17"/>
      <c r="I1051" s="95">
        <v>5</v>
      </c>
      <c r="J1051" s="15" t="s">
        <v>104</v>
      </c>
      <c r="K1051" s="15">
        <v>1.28</v>
      </c>
      <c r="L1051" s="96">
        <v>2.5000000000000001E-2</v>
      </c>
      <c r="M1051" s="16"/>
      <c r="N1051" s="16"/>
      <c r="O1051" s="15"/>
      <c r="P1051" s="15"/>
      <c r="Q1051" s="15"/>
      <c r="R1051" s="15"/>
      <c r="S1051" s="15"/>
      <c r="T1051" s="15"/>
      <c r="U1051" s="15"/>
      <c r="V1051" s="15"/>
      <c r="W1051" s="15"/>
      <c r="X1051" s="15"/>
    </row>
    <row r="1052" spans="2:24" ht="14" customHeight="1" x14ac:dyDescent="0.25">
      <c r="B1052" s="95">
        <v>6</v>
      </c>
      <c r="C1052" s="15" t="s">
        <v>104</v>
      </c>
      <c r="D1052" s="15">
        <v>0.51</v>
      </c>
      <c r="E1052" s="96">
        <v>2.3699999999999999E-2</v>
      </c>
      <c r="F1052" s="17"/>
      <c r="G1052" s="17"/>
      <c r="I1052" s="95">
        <v>6</v>
      </c>
      <c r="J1052" s="15" t="s">
        <v>172</v>
      </c>
      <c r="K1052" s="15">
        <v>1.26</v>
      </c>
      <c r="L1052" s="96">
        <v>2.46E-2</v>
      </c>
      <c r="M1052" s="16"/>
      <c r="N1052" s="16"/>
      <c r="O1052" s="15"/>
      <c r="P1052" s="15"/>
      <c r="Q1052" s="15"/>
      <c r="R1052" s="15"/>
      <c r="S1052" s="15"/>
      <c r="T1052" s="15"/>
      <c r="U1052" s="15"/>
      <c r="V1052" s="15"/>
      <c r="W1052" s="15"/>
      <c r="X1052" s="15"/>
    </row>
    <row r="1053" spans="2:24" ht="14" customHeight="1" x14ac:dyDescent="0.25">
      <c r="B1053" s="95">
        <v>7</v>
      </c>
      <c r="C1053" s="15" t="s">
        <v>103</v>
      </c>
      <c r="D1053" s="15">
        <v>0.47</v>
      </c>
      <c r="E1053" s="96">
        <v>2.1999999999999999E-2</v>
      </c>
      <c r="F1053" s="17"/>
      <c r="G1053" s="17"/>
      <c r="I1053" s="95">
        <v>7</v>
      </c>
      <c r="J1053" s="15" t="s">
        <v>103</v>
      </c>
      <c r="K1053" s="15">
        <v>1.0900000000000001</v>
      </c>
      <c r="L1053" s="96">
        <v>2.1299999999999999E-2</v>
      </c>
      <c r="M1053" s="17"/>
      <c r="N1053" s="17"/>
      <c r="O1053" s="15"/>
      <c r="P1053" s="15"/>
      <c r="Q1053" s="15"/>
      <c r="R1053" s="15"/>
      <c r="S1053" s="15"/>
      <c r="T1053" s="15"/>
      <c r="U1053" s="15"/>
      <c r="V1053" s="15"/>
      <c r="W1053" s="15"/>
      <c r="X1053" s="15"/>
    </row>
    <row r="1054" spans="2:24" ht="14" customHeight="1" x14ac:dyDescent="0.25">
      <c r="B1054" s="95">
        <v>8</v>
      </c>
      <c r="C1054" s="15" t="s">
        <v>185</v>
      </c>
      <c r="D1054" s="15">
        <v>0.4</v>
      </c>
      <c r="E1054" s="96">
        <v>1.8599999999999998E-2</v>
      </c>
      <c r="F1054" s="17"/>
      <c r="G1054" s="17"/>
      <c r="I1054" s="95">
        <v>8</v>
      </c>
      <c r="J1054" s="15" t="s">
        <v>185</v>
      </c>
      <c r="K1054" s="15">
        <v>0.94</v>
      </c>
      <c r="L1054" s="96">
        <v>1.83E-2</v>
      </c>
      <c r="M1054" s="17"/>
      <c r="N1054" s="17"/>
      <c r="O1054" s="15"/>
      <c r="P1054" s="15"/>
      <c r="Q1054" s="15"/>
      <c r="R1054" s="15"/>
      <c r="S1054" s="15"/>
      <c r="T1054" s="15"/>
      <c r="U1054" s="15"/>
      <c r="V1054" s="15"/>
      <c r="W1054" s="15"/>
      <c r="X1054" s="15"/>
    </row>
    <row r="1055" spans="2:24" ht="14" customHeight="1" x14ac:dyDescent="0.25">
      <c r="B1055" s="95">
        <v>9</v>
      </c>
      <c r="C1055" s="15" t="s">
        <v>181</v>
      </c>
      <c r="D1055" s="15">
        <v>0.35</v>
      </c>
      <c r="E1055" s="96">
        <v>1.6199999999999999E-2</v>
      </c>
      <c r="F1055" s="17"/>
      <c r="G1055" s="17"/>
      <c r="I1055" s="95">
        <v>9</v>
      </c>
      <c r="J1055" s="15" t="s">
        <v>181</v>
      </c>
      <c r="K1055" s="15">
        <v>0.81</v>
      </c>
      <c r="L1055" s="96">
        <v>1.5800000000000002E-2</v>
      </c>
      <c r="M1055" s="17"/>
      <c r="N1055" s="17"/>
      <c r="O1055" s="15"/>
      <c r="P1055" s="15"/>
      <c r="Q1055" s="15"/>
      <c r="R1055" s="15"/>
      <c r="S1055" s="15"/>
      <c r="T1055" s="15"/>
      <c r="U1055" s="15"/>
      <c r="V1055" s="15"/>
      <c r="W1055" s="15"/>
      <c r="X1055" s="15"/>
    </row>
    <row r="1056" spans="2:24" ht="14" customHeight="1" x14ac:dyDescent="0.25">
      <c r="B1056" s="95">
        <v>10</v>
      </c>
      <c r="C1056" s="15" t="s">
        <v>563</v>
      </c>
      <c r="D1056" s="15">
        <v>0.22</v>
      </c>
      <c r="E1056" s="96">
        <v>1.04E-2</v>
      </c>
      <c r="F1056" s="17"/>
      <c r="G1056" s="17"/>
      <c r="I1056" s="95">
        <v>10</v>
      </c>
      <c r="J1056" s="15" t="s">
        <v>392</v>
      </c>
      <c r="K1056" s="15">
        <v>0.53</v>
      </c>
      <c r="L1056" s="96">
        <v>1.0200000000000001E-2</v>
      </c>
      <c r="M1056" s="17"/>
      <c r="N1056" s="17"/>
      <c r="O1056" s="15"/>
      <c r="P1056" s="15"/>
      <c r="Q1056" s="15"/>
      <c r="R1056" s="15"/>
      <c r="S1056" s="15"/>
      <c r="T1056" s="15"/>
      <c r="U1056" s="15"/>
      <c r="V1056" s="15"/>
      <c r="W1056" s="15"/>
      <c r="X1056" s="15"/>
    </row>
    <row r="1057" spans="2:24" ht="14" customHeight="1" x14ac:dyDescent="0.25">
      <c r="B1057" s="95">
        <v>11</v>
      </c>
      <c r="C1057" s="15" t="s">
        <v>329</v>
      </c>
      <c r="D1057" s="15">
        <v>0.16</v>
      </c>
      <c r="E1057" s="96">
        <v>7.4000000000000003E-3</v>
      </c>
      <c r="F1057" s="17"/>
      <c r="G1057" s="17"/>
      <c r="I1057" s="95">
        <v>11</v>
      </c>
      <c r="J1057" s="15" t="s">
        <v>329</v>
      </c>
      <c r="K1057" s="15">
        <v>0.49</v>
      </c>
      <c r="L1057" s="96">
        <v>9.4999999999999998E-3</v>
      </c>
      <c r="M1057" s="17"/>
      <c r="N1057" s="17"/>
      <c r="O1057" s="15"/>
      <c r="P1057" s="15"/>
      <c r="Q1057" s="15"/>
      <c r="R1057" s="15"/>
      <c r="S1057" s="15"/>
      <c r="T1057" s="15"/>
      <c r="U1057" s="15"/>
      <c r="V1057" s="15"/>
      <c r="W1057" s="15"/>
      <c r="X1057" s="15"/>
    </row>
    <row r="1058" spans="2:24" ht="14" customHeight="1" x14ac:dyDescent="0.25">
      <c r="B1058" s="95">
        <v>12</v>
      </c>
      <c r="C1058" s="15" t="s">
        <v>575</v>
      </c>
      <c r="D1058" s="15">
        <v>0.15</v>
      </c>
      <c r="E1058" s="96">
        <v>7.1000000000000004E-3</v>
      </c>
      <c r="F1058" s="17"/>
      <c r="G1058" s="17"/>
      <c r="I1058" s="95">
        <v>12</v>
      </c>
      <c r="J1058" s="15" t="s">
        <v>563</v>
      </c>
      <c r="K1058" s="15">
        <v>0.4</v>
      </c>
      <c r="L1058" s="96">
        <v>7.9000000000000008E-3</v>
      </c>
      <c r="M1058" s="17"/>
      <c r="N1058" s="17"/>
      <c r="O1058" s="15"/>
      <c r="P1058" s="15"/>
      <c r="Q1058" s="15"/>
      <c r="R1058" s="15"/>
      <c r="S1058" s="15"/>
      <c r="T1058" s="15"/>
      <c r="U1058" s="15"/>
      <c r="V1058" s="15"/>
      <c r="W1058" s="15"/>
      <c r="X1058" s="15"/>
    </row>
    <row r="1059" spans="2:24" ht="14" customHeight="1" x14ac:dyDescent="0.25">
      <c r="B1059" s="95">
        <v>13</v>
      </c>
      <c r="C1059" s="15" t="s">
        <v>399</v>
      </c>
      <c r="D1059" s="15">
        <v>0.11</v>
      </c>
      <c r="E1059" s="96">
        <v>5.3E-3</v>
      </c>
      <c r="F1059" s="17"/>
      <c r="G1059" s="17"/>
      <c r="I1059" s="95">
        <v>13</v>
      </c>
      <c r="J1059" s="15" t="s">
        <v>576</v>
      </c>
      <c r="K1059" s="15">
        <v>0.28999999999999998</v>
      </c>
      <c r="L1059" s="96">
        <v>5.7000000000000002E-3</v>
      </c>
      <c r="M1059" s="17"/>
      <c r="N1059" s="17"/>
      <c r="O1059" s="15"/>
      <c r="P1059" s="15"/>
      <c r="Q1059" s="15"/>
      <c r="R1059" s="15"/>
      <c r="S1059" s="15"/>
      <c r="T1059" s="15"/>
      <c r="U1059" s="15"/>
      <c r="V1059" s="15"/>
      <c r="W1059" s="15"/>
      <c r="X1059" s="15"/>
    </row>
    <row r="1060" spans="2:24" ht="14" customHeight="1" x14ac:dyDescent="0.25">
      <c r="B1060" s="95">
        <v>14</v>
      </c>
      <c r="C1060" s="15" t="s">
        <v>562</v>
      </c>
      <c r="D1060" s="15">
        <v>0.11</v>
      </c>
      <c r="E1060" s="96">
        <v>5.0000000000000001E-3</v>
      </c>
      <c r="F1060" s="17"/>
      <c r="G1060" s="17"/>
      <c r="I1060" s="95">
        <v>14</v>
      </c>
      <c r="J1060" s="15" t="s">
        <v>562</v>
      </c>
      <c r="K1060" s="15">
        <v>0.27</v>
      </c>
      <c r="L1060" s="96">
        <v>5.4000000000000003E-3</v>
      </c>
      <c r="M1060" s="17"/>
      <c r="N1060" s="17"/>
      <c r="O1060" s="15"/>
      <c r="P1060" s="15"/>
      <c r="Q1060" s="15"/>
      <c r="R1060" s="15"/>
      <c r="S1060" s="15"/>
      <c r="T1060" s="15"/>
      <c r="U1060" s="15"/>
      <c r="V1060" s="15"/>
      <c r="W1060" s="15"/>
      <c r="X1060" s="15"/>
    </row>
    <row r="1061" spans="2:24" ht="14" customHeight="1" x14ac:dyDescent="0.25">
      <c r="B1061" s="97">
        <v>15</v>
      </c>
      <c r="C1061" s="70" t="s">
        <v>392</v>
      </c>
      <c r="D1061" s="70">
        <v>0.1</v>
      </c>
      <c r="E1061" s="98">
        <v>4.7000000000000002E-3</v>
      </c>
      <c r="F1061" s="17"/>
      <c r="G1061" s="17"/>
      <c r="I1061" s="97">
        <v>15</v>
      </c>
      <c r="J1061" s="70" t="s">
        <v>399</v>
      </c>
      <c r="K1061" s="70">
        <v>0.26</v>
      </c>
      <c r="L1061" s="98">
        <v>5.0000000000000001E-3</v>
      </c>
      <c r="M1061" s="17"/>
      <c r="N1061" s="17"/>
      <c r="O1061" s="15"/>
      <c r="P1061" s="15"/>
      <c r="Q1061" s="15"/>
      <c r="R1061" s="15"/>
      <c r="S1061" s="15"/>
      <c r="T1061" s="15"/>
      <c r="U1061" s="15"/>
      <c r="V1061" s="15"/>
      <c r="W1061" s="15"/>
      <c r="X1061" s="15"/>
    </row>
    <row r="1062" spans="2:24" ht="14" customHeight="1" x14ac:dyDescent="0.25">
      <c r="B1062" s="9"/>
      <c r="E1062" s="17"/>
      <c r="F1062" s="17"/>
      <c r="G1062" s="17"/>
      <c r="I1062" s="9"/>
      <c r="L1062" s="17"/>
      <c r="M1062" s="17"/>
      <c r="N1062" s="17"/>
      <c r="O1062" s="15"/>
      <c r="P1062" s="15"/>
      <c r="Q1062" s="15"/>
      <c r="R1062" s="15"/>
      <c r="S1062" s="15"/>
      <c r="T1062" s="15"/>
      <c r="U1062" s="15"/>
      <c r="V1062" s="15"/>
      <c r="W1062" s="15"/>
      <c r="X1062" s="15"/>
    </row>
    <row r="1063" spans="2:24" ht="14" customHeight="1" x14ac:dyDescent="0.25">
      <c r="E1063" s="16"/>
      <c r="F1063" s="16"/>
      <c r="G1063" s="16"/>
      <c r="K1063" s="27"/>
      <c r="M1063" s="17"/>
      <c r="N1063" s="17"/>
      <c r="O1063" s="15"/>
      <c r="P1063" s="15"/>
      <c r="Q1063" s="15"/>
      <c r="R1063" s="15"/>
      <c r="S1063" s="15"/>
      <c r="T1063" s="15"/>
      <c r="U1063" s="15"/>
      <c r="V1063" s="15"/>
      <c r="W1063" s="15"/>
      <c r="X1063" s="15"/>
    </row>
    <row r="1064" spans="2:24" ht="14" customHeight="1" x14ac:dyDescent="0.25">
      <c r="B1064" s="15" t="s">
        <v>577</v>
      </c>
      <c r="I1064" s="15" t="s">
        <v>578</v>
      </c>
      <c r="O1064" s="15"/>
      <c r="P1064" s="15"/>
      <c r="Q1064" s="15"/>
      <c r="R1064" s="15"/>
      <c r="S1064" s="15"/>
      <c r="T1064" s="15"/>
      <c r="U1064" s="15"/>
      <c r="V1064" s="15"/>
      <c r="W1064" s="15"/>
      <c r="X1064" s="15"/>
    </row>
    <row r="1065" spans="2:24" ht="14" customHeight="1" x14ac:dyDescent="0.25">
      <c r="B1065" s="93" t="s">
        <v>334</v>
      </c>
      <c r="C1065" s="85" t="s">
        <v>335</v>
      </c>
      <c r="D1065" s="85" t="s">
        <v>574</v>
      </c>
      <c r="E1065" s="99" t="s">
        <v>337</v>
      </c>
      <c r="F1065" s="9"/>
      <c r="G1065" s="9"/>
      <c r="I1065" s="93" t="s">
        <v>334</v>
      </c>
      <c r="J1065" s="85" t="s">
        <v>335</v>
      </c>
      <c r="K1065" s="85" t="s">
        <v>574</v>
      </c>
      <c r="L1065" s="100" t="s">
        <v>337</v>
      </c>
      <c r="O1065" s="15"/>
      <c r="P1065" s="15"/>
      <c r="Q1065" s="15"/>
      <c r="R1065" s="15"/>
      <c r="S1065" s="15"/>
      <c r="T1065" s="15"/>
      <c r="U1065" s="15"/>
      <c r="V1065" s="15"/>
      <c r="W1065" s="15"/>
      <c r="X1065" s="15"/>
    </row>
    <row r="1066" spans="2:24" ht="14" customHeight="1" x14ac:dyDescent="0.25">
      <c r="B1066" s="95">
        <v>1</v>
      </c>
      <c r="C1066" s="15" t="s">
        <v>98</v>
      </c>
      <c r="D1066" s="15">
        <v>6.57</v>
      </c>
      <c r="E1066" s="96">
        <v>0.48020000000000002</v>
      </c>
      <c r="F1066" s="17"/>
      <c r="G1066" s="17"/>
      <c r="I1066" s="95">
        <v>1</v>
      </c>
      <c r="J1066" s="15" t="s">
        <v>98</v>
      </c>
      <c r="K1066" s="15">
        <v>14.7</v>
      </c>
      <c r="L1066" s="96">
        <v>0.49220000000000003</v>
      </c>
      <c r="M1066" s="16"/>
      <c r="N1066" s="16"/>
      <c r="O1066" s="15"/>
      <c r="P1066" s="15"/>
      <c r="Q1066" s="15"/>
      <c r="R1066" s="15"/>
      <c r="S1066" s="15"/>
      <c r="T1066" s="15"/>
      <c r="U1066" s="15"/>
      <c r="V1066" s="15"/>
      <c r="W1066" s="15"/>
      <c r="X1066" s="15"/>
    </row>
    <row r="1067" spans="2:24" ht="14" customHeight="1" x14ac:dyDescent="0.25">
      <c r="B1067" s="95">
        <v>2</v>
      </c>
      <c r="C1067" s="15" t="s">
        <v>99</v>
      </c>
      <c r="D1067" s="15">
        <v>2.9</v>
      </c>
      <c r="E1067" s="96">
        <v>0.21240000000000001</v>
      </c>
      <c r="F1067" s="17"/>
      <c r="G1067" s="17"/>
      <c r="I1067" s="95">
        <v>2</v>
      </c>
      <c r="J1067" s="15" t="s">
        <v>99</v>
      </c>
      <c r="K1067" s="15">
        <v>6.29</v>
      </c>
      <c r="L1067" s="101">
        <v>0.2107</v>
      </c>
      <c r="O1067" s="15"/>
      <c r="P1067" s="15"/>
      <c r="Q1067" s="15"/>
      <c r="R1067" s="15"/>
      <c r="S1067" s="15"/>
      <c r="T1067" s="15"/>
      <c r="U1067" s="15"/>
      <c r="V1067" s="15"/>
      <c r="W1067" s="15"/>
      <c r="X1067" s="15"/>
    </row>
    <row r="1068" spans="2:24" ht="14" customHeight="1" x14ac:dyDescent="0.25">
      <c r="B1068" s="95">
        <v>3</v>
      </c>
      <c r="C1068" s="15" t="s">
        <v>100</v>
      </c>
      <c r="D1068" s="15">
        <v>1.1499999999999999</v>
      </c>
      <c r="E1068" s="96">
        <v>8.4400000000000003E-2</v>
      </c>
      <c r="F1068" s="17"/>
      <c r="G1068" s="17"/>
      <c r="I1068" s="95">
        <v>3</v>
      </c>
      <c r="J1068" s="15" t="s">
        <v>100</v>
      </c>
      <c r="K1068" s="15">
        <v>2.35</v>
      </c>
      <c r="L1068" s="101">
        <v>7.8700000000000006E-2</v>
      </c>
      <c r="O1068" s="15"/>
      <c r="P1068" s="15"/>
      <c r="Q1068" s="15"/>
      <c r="R1068" s="15"/>
      <c r="S1068" s="15"/>
      <c r="T1068" s="15"/>
      <c r="U1068" s="15"/>
      <c r="V1068" s="15"/>
      <c r="W1068" s="15"/>
      <c r="X1068" s="15"/>
    </row>
    <row r="1069" spans="2:24" ht="14" customHeight="1" x14ac:dyDescent="0.25">
      <c r="B1069" s="95">
        <v>4</v>
      </c>
      <c r="C1069" s="15" t="s">
        <v>101</v>
      </c>
      <c r="D1069" s="15">
        <v>0.7</v>
      </c>
      <c r="E1069" s="96">
        <v>5.1400000000000001E-2</v>
      </c>
      <c r="F1069" s="17"/>
      <c r="G1069" s="17"/>
      <c r="I1069" s="95">
        <v>4</v>
      </c>
      <c r="J1069" s="15" t="s">
        <v>101</v>
      </c>
      <c r="K1069" s="15">
        <v>1.64</v>
      </c>
      <c r="L1069" s="101">
        <v>5.5E-2</v>
      </c>
      <c r="O1069" s="15"/>
      <c r="P1069" s="15"/>
      <c r="Q1069" s="15"/>
      <c r="R1069" s="15"/>
      <c r="S1069" s="15"/>
      <c r="T1069" s="15"/>
      <c r="U1069" s="15"/>
      <c r="V1069" s="15"/>
      <c r="W1069" s="15"/>
      <c r="X1069" s="15"/>
    </row>
    <row r="1070" spans="2:24" ht="14" customHeight="1" x14ac:dyDescent="0.25">
      <c r="B1070" s="95">
        <v>5</v>
      </c>
      <c r="C1070" s="15" t="s">
        <v>172</v>
      </c>
      <c r="D1070" s="15">
        <v>0.35</v>
      </c>
      <c r="E1070" s="96">
        <v>2.5899999999999999E-2</v>
      </c>
      <c r="F1070" s="17"/>
      <c r="G1070" s="17"/>
      <c r="I1070" s="95">
        <v>5</v>
      </c>
      <c r="J1070" s="15" t="s">
        <v>104</v>
      </c>
      <c r="K1070" s="15">
        <v>0.77</v>
      </c>
      <c r="L1070" s="96">
        <v>2.5899999999999999E-2</v>
      </c>
      <c r="O1070" s="15"/>
      <c r="P1070" s="15"/>
      <c r="Q1070" s="15"/>
      <c r="R1070" s="15"/>
      <c r="S1070" s="15"/>
      <c r="T1070" s="15"/>
      <c r="U1070" s="15"/>
      <c r="V1070" s="15"/>
      <c r="W1070" s="15"/>
      <c r="X1070" s="15"/>
    </row>
    <row r="1071" spans="2:24" ht="14" customHeight="1" x14ac:dyDescent="0.25">
      <c r="B1071" s="95">
        <v>6</v>
      </c>
      <c r="C1071" s="15" t="s">
        <v>104</v>
      </c>
      <c r="D1071" s="15">
        <v>0.34</v>
      </c>
      <c r="E1071" s="96">
        <v>2.4799999999999999E-2</v>
      </c>
      <c r="F1071" s="17"/>
      <c r="G1071" s="17"/>
      <c r="I1071" s="95">
        <v>6</v>
      </c>
      <c r="J1071" s="15" t="s">
        <v>103</v>
      </c>
      <c r="K1071" s="15">
        <v>0.62</v>
      </c>
      <c r="L1071" s="96">
        <v>2.0899999999999998E-2</v>
      </c>
      <c r="O1071" s="15"/>
      <c r="P1071" s="15"/>
      <c r="Q1071" s="15"/>
      <c r="R1071" s="15"/>
      <c r="S1071" s="15"/>
      <c r="T1071" s="15"/>
      <c r="U1071" s="15"/>
      <c r="V1071" s="15"/>
      <c r="W1071" s="15"/>
      <c r="X1071" s="15"/>
    </row>
    <row r="1072" spans="2:24" ht="14" customHeight="1" x14ac:dyDescent="0.25">
      <c r="B1072" s="95">
        <v>7</v>
      </c>
      <c r="C1072" s="15" t="s">
        <v>392</v>
      </c>
      <c r="D1072" s="15">
        <v>0.25</v>
      </c>
      <c r="E1072" s="96">
        <v>1.84E-2</v>
      </c>
      <c r="F1072" s="17"/>
      <c r="G1072" s="17"/>
      <c r="I1072" s="95">
        <v>7</v>
      </c>
      <c r="J1072" s="15" t="s">
        <v>185</v>
      </c>
      <c r="K1072" s="15">
        <v>0.54</v>
      </c>
      <c r="L1072" s="96">
        <v>1.8100000000000002E-2</v>
      </c>
      <c r="O1072" s="15"/>
      <c r="P1072" s="15"/>
      <c r="Q1072" s="15"/>
      <c r="R1072" s="15"/>
      <c r="S1072" s="15"/>
      <c r="T1072" s="15"/>
      <c r="U1072" s="15"/>
      <c r="V1072" s="15"/>
      <c r="W1072" s="15"/>
      <c r="X1072" s="15"/>
    </row>
    <row r="1073" spans="2:25" ht="14" customHeight="1" x14ac:dyDescent="0.25">
      <c r="B1073" s="95">
        <v>8</v>
      </c>
      <c r="C1073" s="15" t="s">
        <v>103</v>
      </c>
      <c r="D1073" s="15">
        <v>0.25</v>
      </c>
      <c r="E1073" s="96">
        <v>1.83E-2</v>
      </c>
      <c r="F1073" s="17"/>
      <c r="G1073" s="17"/>
      <c r="I1073" s="95">
        <v>8</v>
      </c>
      <c r="J1073" s="15" t="s">
        <v>172</v>
      </c>
      <c r="K1073" s="15">
        <v>0.47</v>
      </c>
      <c r="L1073" s="96">
        <v>1.5599999999999999E-2</v>
      </c>
      <c r="O1073" s="15"/>
      <c r="P1073" s="15"/>
      <c r="Q1073" s="15"/>
      <c r="R1073" s="15"/>
      <c r="S1073" s="15"/>
      <c r="T1073" s="15"/>
      <c r="U1073" s="15"/>
      <c r="V1073" s="15"/>
      <c r="W1073" s="15"/>
      <c r="X1073" s="15"/>
    </row>
    <row r="1074" spans="2:25" ht="14" customHeight="1" x14ac:dyDescent="0.25">
      <c r="B1074" s="95">
        <v>9</v>
      </c>
      <c r="C1074" s="15" t="s">
        <v>181</v>
      </c>
      <c r="D1074" s="15">
        <v>0.24</v>
      </c>
      <c r="E1074" s="96">
        <v>1.7299999999999999E-2</v>
      </c>
      <c r="F1074" s="17"/>
      <c r="G1074" s="17"/>
      <c r="I1074" s="95">
        <v>9</v>
      </c>
      <c r="J1074" s="15" t="s">
        <v>181</v>
      </c>
      <c r="K1074" s="15">
        <v>0.46</v>
      </c>
      <c r="L1074" s="96">
        <v>1.55E-2</v>
      </c>
      <c r="O1074" s="15"/>
      <c r="P1074" s="15"/>
      <c r="Q1074" s="15"/>
      <c r="R1074" s="15"/>
      <c r="S1074" s="15"/>
      <c r="T1074" s="15"/>
      <c r="U1074" s="15"/>
      <c r="V1074" s="15"/>
      <c r="W1074" s="15"/>
      <c r="X1074" s="15"/>
    </row>
    <row r="1075" spans="2:25" ht="14" customHeight="1" x14ac:dyDescent="0.25">
      <c r="B1075" s="95">
        <v>10</v>
      </c>
      <c r="C1075" s="15" t="s">
        <v>329</v>
      </c>
      <c r="D1075" s="15">
        <v>0.21</v>
      </c>
      <c r="E1075" s="96">
        <v>1.5100000000000001E-2</v>
      </c>
      <c r="F1075" s="17"/>
      <c r="G1075" s="17"/>
      <c r="I1075" s="95">
        <v>10</v>
      </c>
      <c r="J1075" s="15" t="s">
        <v>392</v>
      </c>
      <c r="K1075" s="15">
        <v>0.43</v>
      </c>
      <c r="L1075" s="96">
        <v>1.4200000000000001E-2</v>
      </c>
      <c r="O1075" s="15"/>
      <c r="P1075" s="15"/>
      <c r="Q1075" s="15"/>
      <c r="R1075" s="15"/>
      <c r="S1075" s="15"/>
      <c r="T1075" s="15"/>
      <c r="U1075" s="15"/>
      <c r="V1075" s="15"/>
      <c r="W1075" s="15"/>
      <c r="X1075" s="15"/>
    </row>
    <row r="1076" spans="2:25" ht="14" customHeight="1" x14ac:dyDescent="0.25">
      <c r="B1076" s="95">
        <v>11</v>
      </c>
      <c r="C1076" s="15" t="s">
        <v>185</v>
      </c>
      <c r="D1076" s="15">
        <v>0.2</v>
      </c>
      <c r="E1076" s="96">
        <v>1.4500000000000001E-2</v>
      </c>
      <c r="F1076" s="17"/>
      <c r="G1076" s="17"/>
      <c r="I1076" s="95">
        <v>11</v>
      </c>
      <c r="J1076" s="15" t="s">
        <v>329</v>
      </c>
      <c r="K1076" s="15">
        <v>0.33</v>
      </c>
      <c r="L1076" s="96">
        <v>1.09E-2</v>
      </c>
      <c r="O1076" s="15"/>
      <c r="P1076" s="15"/>
      <c r="Q1076" s="15"/>
      <c r="R1076" s="15"/>
      <c r="S1076" s="15"/>
      <c r="T1076" s="15"/>
      <c r="U1076" s="15"/>
      <c r="V1076" s="15"/>
      <c r="W1076" s="15"/>
      <c r="X1076" s="15"/>
    </row>
    <row r="1077" spans="2:25" ht="14" customHeight="1" x14ac:dyDescent="0.25">
      <c r="B1077" s="95">
        <v>12</v>
      </c>
      <c r="C1077" s="15" t="s">
        <v>563</v>
      </c>
      <c r="D1077" s="15">
        <v>0.09</v>
      </c>
      <c r="E1077" s="96">
        <v>6.6E-3</v>
      </c>
      <c r="F1077" s="17"/>
      <c r="G1077" s="17"/>
      <c r="I1077" s="95">
        <v>12</v>
      </c>
      <c r="J1077" s="15" t="s">
        <v>563</v>
      </c>
      <c r="K1077" s="15">
        <v>0.18</v>
      </c>
      <c r="L1077" s="96">
        <v>6.0000000000000001E-3</v>
      </c>
      <c r="O1077" s="15"/>
      <c r="P1077" s="15"/>
      <c r="Q1077" s="15"/>
      <c r="R1077" s="15"/>
      <c r="S1077" s="15"/>
      <c r="T1077" s="15"/>
      <c r="U1077" s="15"/>
      <c r="V1077" s="15"/>
      <c r="W1077" s="15"/>
      <c r="X1077" s="15"/>
    </row>
    <row r="1078" spans="2:25" ht="14" customHeight="1" x14ac:dyDescent="0.25">
      <c r="B1078" s="95">
        <v>13</v>
      </c>
      <c r="C1078" s="15" t="s">
        <v>399</v>
      </c>
      <c r="D1078" s="15">
        <v>7.0000000000000007E-2</v>
      </c>
      <c r="E1078" s="96">
        <v>4.7999999999999996E-3</v>
      </c>
      <c r="F1078" s="17"/>
      <c r="G1078" s="17"/>
      <c r="I1078" s="95">
        <v>13</v>
      </c>
      <c r="J1078" s="15" t="s">
        <v>562</v>
      </c>
      <c r="K1078" s="15">
        <v>0.17</v>
      </c>
      <c r="L1078" s="96">
        <v>5.5999999999999999E-3</v>
      </c>
      <c r="O1078" s="15"/>
      <c r="P1078" s="15"/>
      <c r="Q1078" s="15"/>
      <c r="R1078" s="15"/>
      <c r="S1078" s="15"/>
      <c r="T1078" s="15"/>
      <c r="U1078" s="15"/>
      <c r="V1078" s="15"/>
      <c r="W1078" s="15"/>
      <c r="X1078" s="15"/>
    </row>
    <row r="1079" spans="2:25" ht="14" customHeight="1" x14ac:dyDescent="0.25">
      <c r="B1079" s="95">
        <v>14</v>
      </c>
      <c r="C1079" s="15" t="s">
        <v>576</v>
      </c>
      <c r="D1079" s="15">
        <v>0.06</v>
      </c>
      <c r="E1079" s="96">
        <v>4.3E-3</v>
      </c>
      <c r="F1079" s="17"/>
      <c r="G1079" s="17"/>
      <c r="I1079" s="95">
        <v>14</v>
      </c>
      <c r="J1079" s="15" t="s">
        <v>579</v>
      </c>
      <c r="K1079" s="15">
        <v>0.15</v>
      </c>
      <c r="L1079" s="96">
        <v>5.0000000000000001E-3</v>
      </c>
      <c r="O1079" s="15"/>
      <c r="P1079" s="15"/>
      <c r="Q1079" s="15"/>
      <c r="R1079" s="15"/>
      <c r="S1079" s="15"/>
      <c r="T1079" s="15"/>
      <c r="U1079" s="15"/>
      <c r="V1079" s="15"/>
      <c r="W1079" s="15"/>
      <c r="X1079" s="15"/>
    </row>
    <row r="1080" spans="2:25" ht="14" customHeight="1" x14ac:dyDescent="0.25">
      <c r="B1080" s="97">
        <v>15</v>
      </c>
      <c r="C1080" s="70" t="s">
        <v>579</v>
      </c>
      <c r="D1080" s="70">
        <v>0.06</v>
      </c>
      <c r="E1080" s="98">
        <v>4.1999999999999997E-3</v>
      </c>
      <c r="F1080" s="17"/>
      <c r="G1080" s="17"/>
      <c r="I1080" s="97">
        <v>15</v>
      </c>
      <c r="J1080" s="70" t="s">
        <v>576</v>
      </c>
      <c r="K1080" s="70">
        <v>0.14000000000000001</v>
      </c>
      <c r="L1080" s="98">
        <v>4.7999999999999996E-3</v>
      </c>
      <c r="O1080" s="15"/>
      <c r="P1080" s="15"/>
      <c r="Q1080" s="15"/>
      <c r="R1080" s="15"/>
      <c r="S1080" s="15"/>
      <c r="T1080" s="15"/>
      <c r="U1080" s="15"/>
      <c r="V1080" s="15"/>
      <c r="W1080" s="15"/>
      <c r="X1080" s="15"/>
    </row>
    <row r="1081" spans="2:25" ht="14" customHeight="1" x14ac:dyDescent="0.25">
      <c r="O1081" s="15"/>
      <c r="P1081" s="15"/>
      <c r="Q1081" s="15"/>
      <c r="R1081" s="15"/>
      <c r="S1081" s="15"/>
      <c r="T1081" s="15"/>
      <c r="U1081" s="15"/>
      <c r="V1081" s="15"/>
      <c r="W1081" s="15"/>
      <c r="X1081" s="15"/>
    </row>
    <row r="1082" spans="2:25" ht="14" customHeight="1" x14ac:dyDescent="0.25">
      <c r="O1082" s="15"/>
      <c r="P1082" s="15"/>
      <c r="Q1082" s="15"/>
      <c r="R1082" s="15"/>
      <c r="S1082" s="15"/>
      <c r="T1082" s="15"/>
      <c r="U1082" s="15"/>
      <c r="V1082" s="15"/>
      <c r="W1082" s="15"/>
      <c r="X1082" s="15"/>
      <c r="Y1082" s="15"/>
    </row>
    <row r="1083" spans="2:25" ht="14" customHeight="1" x14ac:dyDescent="0.25">
      <c r="B1083" s="231" t="s">
        <v>580</v>
      </c>
      <c r="C1083" s="66"/>
      <c r="D1083" s="232"/>
      <c r="E1083" s="102"/>
      <c r="F1083" s="102"/>
      <c r="G1083" s="102"/>
      <c r="H1083" s="233" t="s">
        <v>581</v>
      </c>
      <c r="L1083" s="48"/>
      <c r="M1083" s="16"/>
      <c r="O1083" s="15"/>
      <c r="P1083" s="15"/>
      <c r="Q1083" s="15"/>
      <c r="R1083" s="15"/>
      <c r="S1083" s="15"/>
      <c r="T1083" s="15"/>
      <c r="U1083" s="15"/>
      <c r="V1083" s="15"/>
      <c r="W1083" s="15"/>
      <c r="X1083" s="15"/>
      <c r="Y1083" s="15"/>
    </row>
    <row r="1084" spans="2:25" ht="14" customHeight="1" x14ac:dyDescent="0.25">
      <c r="B1084" s="95" t="s">
        <v>582</v>
      </c>
      <c r="C1084" s="9" t="s">
        <v>335</v>
      </c>
      <c r="D1084" s="49" t="s">
        <v>583</v>
      </c>
      <c r="E1084" s="45" t="s">
        <v>337</v>
      </c>
      <c r="F1084" s="45"/>
      <c r="G1084" s="45"/>
      <c r="H1084" s="103" t="s">
        <v>584</v>
      </c>
      <c r="I1084" s="59"/>
      <c r="O1084" s="15"/>
      <c r="P1084" s="15"/>
      <c r="Q1084" s="15"/>
      <c r="R1084" s="15"/>
      <c r="S1084" s="15"/>
      <c r="T1084" s="15"/>
      <c r="U1084" s="15"/>
      <c r="V1084" s="15"/>
      <c r="W1084" s="15"/>
      <c r="X1084" s="15"/>
      <c r="Y1084" s="15"/>
    </row>
    <row r="1085" spans="2:25" ht="14" customHeight="1" x14ac:dyDescent="0.25">
      <c r="B1085" s="95">
        <v>1</v>
      </c>
      <c r="C1085" s="15" t="s">
        <v>98</v>
      </c>
      <c r="D1085" s="15">
        <v>8.1300000000000008</v>
      </c>
      <c r="E1085" s="16">
        <v>0.50239999999999996</v>
      </c>
      <c r="F1085" s="16"/>
      <c r="G1085" s="16"/>
      <c r="H1085" s="104">
        <v>16.18</v>
      </c>
      <c r="I1085" s="59"/>
      <c r="O1085" s="15"/>
      <c r="P1085" s="15"/>
      <c r="Q1085" s="15"/>
      <c r="R1085" s="15"/>
      <c r="S1085" s="15"/>
      <c r="T1085" s="15"/>
      <c r="U1085" s="15"/>
      <c r="V1085" s="15"/>
      <c r="W1085" s="15"/>
      <c r="X1085" s="15"/>
      <c r="Y1085" s="15"/>
    </row>
    <row r="1086" spans="2:25" ht="14" customHeight="1" x14ac:dyDescent="0.25">
      <c r="B1086" s="95">
        <v>2</v>
      </c>
      <c r="C1086" s="15" t="s">
        <v>99</v>
      </c>
      <c r="D1086" s="15">
        <v>3.39</v>
      </c>
      <c r="E1086" s="16">
        <v>0.20930000000000001</v>
      </c>
      <c r="F1086" s="16"/>
      <c r="G1086" s="16"/>
      <c r="H1086" s="104">
        <v>16.18</v>
      </c>
      <c r="I1086" s="59"/>
      <c r="O1086" s="15"/>
      <c r="P1086" s="15"/>
      <c r="Q1086" s="15"/>
      <c r="R1086" s="15"/>
      <c r="S1086" s="15"/>
      <c r="T1086" s="15"/>
      <c r="U1086" s="15"/>
      <c r="V1086" s="15"/>
      <c r="W1086" s="15"/>
      <c r="X1086" s="15"/>
      <c r="Y1086" s="15"/>
    </row>
    <row r="1087" spans="2:25" ht="14" customHeight="1" x14ac:dyDescent="0.25">
      <c r="B1087" s="95">
        <v>3</v>
      </c>
      <c r="C1087" s="15" t="s">
        <v>100</v>
      </c>
      <c r="D1087" s="15">
        <v>1.2</v>
      </c>
      <c r="E1087" s="16">
        <v>7.3999999999999996E-2</v>
      </c>
      <c r="F1087" s="16"/>
      <c r="G1087" s="16"/>
      <c r="H1087" s="104">
        <v>16.18</v>
      </c>
      <c r="I1087" s="59"/>
      <c r="O1087" s="15"/>
      <c r="P1087" s="15"/>
      <c r="Q1087" s="15"/>
      <c r="R1087" s="15"/>
      <c r="S1087" s="15"/>
      <c r="T1087" s="15"/>
      <c r="U1087" s="15"/>
      <c r="V1087" s="15"/>
      <c r="W1087" s="15"/>
      <c r="X1087" s="15"/>
      <c r="Y1087" s="15"/>
    </row>
    <row r="1088" spans="2:25" ht="14" customHeight="1" x14ac:dyDescent="0.25">
      <c r="B1088" s="95">
        <v>4</v>
      </c>
      <c r="C1088" s="15" t="s">
        <v>101</v>
      </c>
      <c r="D1088" s="15">
        <v>0.94</v>
      </c>
      <c r="E1088" s="16">
        <v>5.8099999999999999E-2</v>
      </c>
      <c r="F1088" s="16"/>
      <c r="G1088" s="16"/>
      <c r="H1088" s="104">
        <v>16.18</v>
      </c>
      <c r="I1088" s="59"/>
      <c r="O1088" s="15"/>
      <c r="P1088" s="15"/>
      <c r="Q1088" s="15"/>
      <c r="R1088" s="15"/>
      <c r="S1088" s="15"/>
      <c r="T1088" s="15"/>
      <c r="U1088" s="15"/>
      <c r="V1088" s="15"/>
      <c r="W1088" s="15"/>
      <c r="X1088" s="15"/>
      <c r="Y1088" s="15"/>
    </row>
    <row r="1089" spans="2:25" ht="14" customHeight="1" x14ac:dyDescent="0.25">
      <c r="B1089" s="95">
        <v>5</v>
      </c>
      <c r="C1089" s="15" t="s">
        <v>104</v>
      </c>
      <c r="D1089" s="15">
        <v>0.44</v>
      </c>
      <c r="E1089" s="16">
        <v>2.69E-2</v>
      </c>
      <c r="F1089" s="16"/>
      <c r="G1089" s="16"/>
      <c r="H1089" s="104">
        <v>16.18</v>
      </c>
      <c r="I1089" s="59"/>
      <c r="O1089" s="15"/>
      <c r="P1089" s="15"/>
      <c r="Q1089" s="15"/>
      <c r="R1089" s="15"/>
      <c r="S1089" s="15"/>
      <c r="T1089" s="15"/>
      <c r="U1089" s="15"/>
      <c r="V1089" s="15"/>
      <c r="W1089" s="15"/>
      <c r="X1089" s="15"/>
      <c r="Y1089" s="15"/>
    </row>
    <row r="1090" spans="2:25" ht="14" customHeight="1" x14ac:dyDescent="0.25">
      <c r="B1090" s="95">
        <v>6</v>
      </c>
      <c r="C1090" s="15" t="s">
        <v>103</v>
      </c>
      <c r="D1090" s="15">
        <v>0.37</v>
      </c>
      <c r="E1090" s="16">
        <v>2.3099999999999999E-2</v>
      </c>
      <c r="F1090" s="16"/>
      <c r="G1090" s="16"/>
      <c r="H1090" s="104">
        <v>16.18</v>
      </c>
      <c r="I1090" s="59"/>
      <c r="O1090" s="15"/>
      <c r="P1090" s="15"/>
      <c r="Q1090" s="15"/>
      <c r="R1090" s="15"/>
      <c r="S1090" s="15"/>
      <c r="T1090" s="15"/>
      <c r="U1090" s="15"/>
      <c r="V1090" s="15"/>
      <c r="W1090" s="15"/>
      <c r="X1090" s="15"/>
      <c r="Y1090" s="15"/>
    </row>
    <row r="1091" spans="2:25" ht="14" customHeight="1" x14ac:dyDescent="0.25">
      <c r="B1091" s="95">
        <v>7</v>
      </c>
      <c r="C1091" s="15" t="s">
        <v>185</v>
      </c>
      <c r="D1091" s="15">
        <v>0.34</v>
      </c>
      <c r="E1091" s="16">
        <v>2.1100000000000001E-2</v>
      </c>
      <c r="F1091" s="16"/>
      <c r="G1091" s="16"/>
      <c r="H1091" s="104">
        <v>16.18</v>
      </c>
      <c r="I1091" s="59"/>
      <c r="O1091" s="15"/>
      <c r="P1091" s="15"/>
      <c r="Q1091" s="15"/>
      <c r="R1091" s="15"/>
      <c r="S1091" s="15"/>
      <c r="T1091" s="15"/>
      <c r="U1091" s="15"/>
      <c r="V1091" s="15"/>
      <c r="W1091" s="15"/>
      <c r="X1091" s="15"/>
      <c r="Y1091" s="15"/>
    </row>
    <row r="1092" spans="2:25" ht="14" customHeight="1" x14ac:dyDescent="0.25">
      <c r="B1092" s="95">
        <v>8</v>
      </c>
      <c r="C1092" s="15" t="s">
        <v>181</v>
      </c>
      <c r="D1092" s="15">
        <v>0.23</v>
      </c>
      <c r="E1092" s="16">
        <v>1.41E-2</v>
      </c>
      <c r="F1092" s="16"/>
      <c r="G1092" s="16"/>
      <c r="H1092" s="104">
        <v>16.18</v>
      </c>
      <c r="I1092" s="59"/>
      <c r="O1092" s="15"/>
      <c r="P1092" s="15"/>
      <c r="Q1092" s="15"/>
      <c r="R1092" s="15"/>
      <c r="S1092" s="15"/>
      <c r="T1092" s="15"/>
      <c r="U1092" s="15"/>
      <c r="V1092" s="15"/>
      <c r="W1092" s="15"/>
      <c r="X1092" s="15"/>
      <c r="Y1092" s="15"/>
    </row>
    <row r="1093" spans="2:25" ht="14" customHeight="1" x14ac:dyDescent="0.25">
      <c r="B1093" s="95">
        <v>9</v>
      </c>
      <c r="C1093" s="15" t="s">
        <v>392</v>
      </c>
      <c r="D1093" s="15">
        <v>0.17</v>
      </c>
      <c r="E1093" s="16">
        <v>1.0800000000000001E-2</v>
      </c>
      <c r="F1093" s="16"/>
      <c r="G1093" s="16"/>
      <c r="H1093" s="104">
        <v>16.18</v>
      </c>
      <c r="I1093" s="59"/>
      <c r="O1093" s="15"/>
      <c r="P1093" s="15"/>
      <c r="Q1093" s="15"/>
      <c r="R1093" s="15"/>
      <c r="S1093" s="15"/>
      <c r="T1093" s="15"/>
      <c r="U1093" s="15"/>
      <c r="V1093" s="15"/>
      <c r="W1093" s="15"/>
      <c r="X1093" s="15"/>
      <c r="Y1093" s="15"/>
    </row>
    <row r="1094" spans="2:25" ht="14" customHeight="1" x14ac:dyDescent="0.25">
      <c r="B1094" s="97">
        <v>10</v>
      </c>
      <c r="C1094" s="70" t="s">
        <v>562</v>
      </c>
      <c r="D1094" s="70">
        <v>0.13</v>
      </c>
      <c r="E1094" s="71">
        <v>8.2000000000000007E-3</v>
      </c>
      <c r="F1094" s="71"/>
      <c r="G1094" s="71"/>
      <c r="H1094" s="105">
        <v>16.18</v>
      </c>
      <c r="I1094" s="59"/>
      <c r="O1094" s="15"/>
      <c r="P1094" s="15"/>
      <c r="Q1094" s="15"/>
      <c r="R1094" s="15"/>
      <c r="S1094" s="15"/>
      <c r="T1094" s="15"/>
      <c r="U1094" s="15"/>
      <c r="V1094" s="15"/>
      <c r="W1094" s="15"/>
      <c r="X1094" s="15"/>
      <c r="Y1094" s="15"/>
    </row>
    <row r="1095" spans="2:25" ht="14" customHeight="1" x14ac:dyDescent="0.25">
      <c r="B1095" s="9"/>
      <c r="E1095" s="16"/>
      <c r="F1095" s="16"/>
      <c r="G1095" s="16"/>
      <c r="H1095" s="106"/>
      <c r="I1095" s="59"/>
      <c r="O1095" s="15"/>
      <c r="P1095" s="15"/>
      <c r="Q1095" s="15"/>
      <c r="R1095" s="15"/>
      <c r="S1095" s="15"/>
      <c r="T1095" s="15"/>
      <c r="U1095" s="15"/>
      <c r="V1095" s="15"/>
      <c r="W1095" s="15"/>
      <c r="X1095" s="15"/>
      <c r="Y1095" s="15"/>
    </row>
    <row r="1096" spans="2:25" ht="14" customHeight="1" x14ac:dyDescent="0.25">
      <c r="B1096" s="9"/>
      <c r="E1096" s="16"/>
      <c r="F1096" s="16"/>
      <c r="G1096" s="16"/>
      <c r="H1096" s="106"/>
      <c r="I1096" s="59"/>
      <c r="O1096" s="15"/>
      <c r="P1096" s="15"/>
      <c r="Q1096" s="15"/>
      <c r="R1096" s="15"/>
      <c r="S1096" s="15"/>
      <c r="T1096" s="15"/>
      <c r="U1096" s="15"/>
      <c r="V1096" s="15"/>
      <c r="W1096" s="15"/>
      <c r="X1096" s="15"/>
      <c r="Y1096" s="15"/>
    </row>
    <row r="1097" spans="2:25" ht="14" customHeight="1" x14ac:dyDescent="0.25">
      <c r="B1097" s="9"/>
      <c r="E1097" s="16"/>
      <c r="F1097" s="16"/>
      <c r="G1097" s="16"/>
      <c r="H1097" s="106"/>
      <c r="I1097" s="59"/>
      <c r="O1097" s="15"/>
      <c r="P1097" s="15"/>
      <c r="Q1097" s="15"/>
      <c r="R1097" s="15"/>
      <c r="S1097" s="15"/>
      <c r="T1097" s="15"/>
      <c r="U1097" s="15"/>
      <c r="V1097" s="15"/>
      <c r="W1097" s="15"/>
      <c r="X1097" s="15"/>
      <c r="Y1097" s="15"/>
    </row>
    <row r="1098" spans="2:25" ht="14" customHeight="1" x14ac:dyDescent="0.25">
      <c r="B1098" s="9"/>
      <c r="E1098" s="16"/>
      <c r="F1098" s="16"/>
      <c r="G1098" s="16"/>
      <c r="H1098" s="106"/>
      <c r="I1098" s="59"/>
      <c r="O1098" s="15"/>
      <c r="P1098" s="15"/>
      <c r="Q1098" s="15"/>
      <c r="R1098" s="15"/>
      <c r="S1098" s="15"/>
      <c r="T1098" s="15"/>
      <c r="U1098" s="15"/>
      <c r="V1098" s="15"/>
      <c r="W1098" s="15"/>
      <c r="X1098" s="15"/>
      <c r="Y1098" s="15"/>
    </row>
    <row r="1099" spans="2:25" ht="14" customHeight="1" x14ac:dyDescent="0.25">
      <c r="B1099" s="15" t="s">
        <v>585</v>
      </c>
      <c r="D1099" s="48"/>
      <c r="E1099" s="53"/>
      <c r="F1099" s="53"/>
      <c r="G1099" s="53"/>
      <c r="H1099" s="15" t="s">
        <v>581</v>
      </c>
      <c r="J1099" s="15" t="s">
        <v>586</v>
      </c>
      <c r="L1099" s="48"/>
      <c r="M1099" s="16"/>
      <c r="O1099" s="15"/>
      <c r="P1099" s="15"/>
      <c r="Q1099" s="15"/>
      <c r="R1099" s="15"/>
      <c r="S1099" s="15"/>
      <c r="T1099" s="15"/>
      <c r="U1099" s="15"/>
      <c r="V1099" s="15"/>
      <c r="W1099" s="15"/>
      <c r="X1099" s="15"/>
      <c r="Y1099" s="15"/>
    </row>
    <row r="1100" spans="2:25" ht="14" customHeight="1" x14ac:dyDescent="0.25">
      <c r="B1100" s="93" t="s">
        <v>582</v>
      </c>
      <c r="C1100" s="85" t="s">
        <v>335</v>
      </c>
      <c r="D1100" s="87" t="s">
        <v>583</v>
      </c>
      <c r="E1100" s="107" t="s">
        <v>337</v>
      </c>
      <c r="F1100" s="107"/>
      <c r="G1100" s="107"/>
      <c r="H1100" s="108" t="s">
        <v>584</v>
      </c>
      <c r="I1100" s="59"/>
      <c r="J1100" s="93" t="s">
        <v>582</v>
      </c>
      <c r="K1100" s="85" t="s">
        <v>335</v>
      </c>
      <c r="L1100" s="87" t="s">
        <v>583</v>
      </c>
      <c r="M1100" s="107" t="s">
        <v>337</v>
      </c>
      <c r="N1100" s="108" t="s">
        <v>587</v>
      </c>
      <c r="O1100" s="15"/>
      <c r="P1100" s="15"/>
      <c r="Q1100" s="15"/>
      <c r="R1100" s="15"/>
      <c r="S1100" s="15"/>
      <c r="T1100" s="15"/>
      <c r="U1100" s="15"/>
      <c r="V1100" s="15"/>
      <c r="W1100" s="15"/>
      <c r="X1100" s="15"/>
      <c r="Y1100" s="15"/>
    </row>
    <row r="1101" spans="2:25" ht="14" customHeight="1" x14ac:dyDescent="0.25">
      <c r="B1101" s="95">
        <v>1</v>
      </c>
      <c r="C1101" s="15" t="s">
        <v>98</v>
      </c>
      <c r="D1101" s="15">
        <v>14.58</v>
      </c>
      <c r="E1101" s="16">
        <v>0.55600000000000005</v>
      </c>
      <c r="F1101" s="16"/>
      <c r="G1101" s="16"/>
      <c r="H1101" s="104">
        <v>26.2</v>
      </c>
      <c r="I1101" s="59"/>
      <c r="J1101" s="95">
        <v>1</v>
      </c>
      <c r="K1101" s="9" t="s">
        <v>68</v>
      </c>
      <c r="L1101" s="59">
        <v>80.510000000000005</v>
      </c>
      <c r="M1101" s="56">
        <v>0.52100000000000002</v>
      </c>
      <c r="N1101" s="109">
        <v>154.5</v>
      </c>
      <c r="O1101" s="15"/>
      <c r="P1101" s="15"/>
      <c r="Q1101" s="15"/>
      <c r="R1101" s="15"/>
      <c r="S1101" s="15"/>
      <c r="T1101" s="15"/>
      <c r="U1101" s="15"/>
      <c r="V1101" s="15"/>
      <c r="W1101" s="15"/>
      <c r="X1101" s="15"/>
      <c r="Y1101" s="15"/>
    </row>
    <row r="1102" spans="2:25" ht="14" customHeight="1" x14ac:dyDescent="0.25">
      <c r="B1102" s="95">
        <v>2</v>
      </c>
      <c r="C1102" s="15" t="s">
        <v>99</v>
      </c>
      <c r="D1102" s="15">
        <v>3.73</v>
      </c>
      <c r="E1102" s="16">
        <v>0.14199999999999999</v>
      </c>
      <c r="F1102" s="16"/>
      <c r="G1102" s="16"/>
      <c r="H1102" s="104">
        <v>26.2</v>
      </c>
      <c r="I1102" s="59"/>
      <c r="J1102" s="95">
        <v>2</v>
      </c>
      <c r="K1102" s="9" t="s">
        <v>69</v>
      </c>
      <c r="L1102" s="59">
        <v>25.06</v>
      </c>
      <c r="M1102" s="56">
        <v>0.16200000000000001</v>
      </c>
      <c r="N1102" s="109">
        <v>154.5</v>
      </c>
      <c r="O1102" s="15"/>
      <c r="P1102" s="15"/>
      <c r="Q1102" s="15"/>
      <c r="R1102" s="15"/>
      <c r="S1102" s="15"/>
      <c r="T1102" s="15"/>
      <c r="U1102" s="15"/>
      <c r="V1102" s="15"/>
      <c r="W1102" s="15"/>
      <c r="X1102" s="15"/>
      <c r="Y1102" s="15"/>
    </row>
    <row r="1103" spans="2:25" ht="14" customHeight="1" x14ac:dyDescent="0.25">
      <c r="B1103" s="95">
        <v>3</v>
      </c>
      <c r="C1103" s="15" t="s">
        <v>100</v>
      </c>
      <c r="D1103" s="15">
        <v>1.55</v>
      </c>
      <c r="E1103" s="16">
        <v>5.8999999999999997E-2</v>
      </c>
      <c r="F1103" s="16"/>
      <c r="G1103" s="16"/>
      <c r="H1103" s="104">
        <v>26.2</v>
      </c>
      <c r="I1103" s="59"/>
      <c r="J1103" s="95">
        <v>3</v>
      </c>
      <c r="K1103" s="9" t="s">
        <v>588</v>
      </c>
      <c r="L1103" s="59">
        <v>9.0500000000000007</v>
      </c>
      <c r="M1103" s="56">
        <v>5.8999999999999997E-2</v>
      </c>
      <c r="N1103" s="109">
        <v>154.5</v>
      </c>
      <c r="O1103" s="15"/>
      <c r="P1103" s="15"/>
      <c r="Q1103" s="15"/>
      <c r="R1103" s="15"/>
      <c r="S1103" s="15"/>
      <c r="T1103" s="15"/>
      <c r="U1103" s="15"/>
      <c r="V1103" s="15"/>
      <c r="W1103" s="15"/>
      <c r="X1103" s="15"/>
      <c r="Y1103" s="15"/>
    </row>
    <row r="1104" spans="2:25" ht="14" customHeight="1" x14ac:dyDescent="0.25">
      <c r="B1104" s="95">
        <v>4</v>
      </c>
      <c r="C1104" s="15" t="s">
        <v>101</v>
      </c>
      <c r="D1104" s="15">
        <v>1.42</v>
      </c>
      <c r="E1104" s="16">
        <v>5.3999999999999999E-2</v>
      </c>
      <c r="F1104" s="16"/>
      <c r="G1104" s="16"/>
      <c r="H1104" s="104">
        <v>26.2</v>
      </c>
      <c r="I1104" s="59"/>
      <c r="J1104" s="95">
        <v>4</v>
      </c>
      <c r="K1104" s="9" t="s">
        <v>70</v>
      </c>
      <c r="L1104" s="59">
        <v>8.02</v>
      </c>
      <c r="M1104" s="56">
        <v>5.1999999999999998E-2</v>
      </c>
      <c r="N1104" s="109">
        <v>154.5</v>
      </c>
      <c r="O1104" s="15"/>
      <c r="P1104" s="15"/>
      <c r="Q1104" s="15"/>
      <c r="R1104" s="15"/>
      <c r="S1104" s="15"/>
      <c r="T1104" s="15"/>
      <c r="U1104" s="15"/>
      <c r="V1104" s="15"/>
      <c r="W1104" s="15"/>
      <c r="X1104" s="15"/>
      <c r="Y1104" s="15"/>
    </row>
    <row r="1105" spans="2:26" ht="14" customHeight="1" x14ac:dyDescent="0.25">
      <c r="B1105" s="95">
        <v>5</v>
      </c>
      <c r="C1105" s="15" t="s">
        <v>172</v>
      </c>
      <c r="D1105" s="15">
        <v>0.89</v>
      </c>
      <c r="E1105" s="16">
        <v>3.4000000000000002E-2</v>
      </c>
      <c r="F1105" s="16"/>
      <c r="G1105" s="16"/>
      <c r="H1105" s="104">
        <v>26.2</v>
      </c>
      <c r="I1105" s="59"/>
      <c r="J1105" s="95">
        <v>5</v>
      </c>
      <c r="K1105" s="9" t="s">
        <v>127</v>
      </c>
      <c r="L1105" s="59">
        <v>6.25</v>
      </c>
      <c r="M1105" s="56">
        <v>0.04</v>
      </c>
      <c r="N1105" s="109">
        <v>154.5</v>
      </c>
      <c r="O1105" s="15"/>
      <c r="P1105" s="15"/>
      <c r="Q1105" s="15"/>
      <c r="R1105" s="15"/>
      <c r="S1105" s="15"/>
      <c r="T1105" s="15"/>
      <c r="U1105" s="15"/>
      <c r="V1105" s="15"/>
      <c r="W1105" s="15"/>
      <c r="X1105" s="15"/>
      <c r="Y1105" s="15"/>
    </row>
    <row r="1106" spans="2:26" ht="14" customHeight="1" x14ac:dyDescent="0.25">
      <c r="B1106" s="95">
        <v>6</v>
      </c>
      <c r="C1106" s="15" t="s">
        <v>104</v>
      </c>
      <c r="D1106" s="15">
        <v>0.61</v>
      </c>
      <c r="E1106" s="16">
        <v>2.3E-2</v>
      </c>
      <c r="F1106" s="16"/>
      <c r="G1106" s="16"/>
      <c r="H1106" s="104">
        <v>26.2</v>
      </c>
      <c r="I1106" s="59"/>
      <c r="J1106" s="95">
        <v>6</v>
      </c>
      <c r="K1106" s="9" t="s">
        <v>74</v>
      </c>
      <c r="L1106" s="59">
        <v>3.22</v>
      </c>
      <c r="M1106" s="56">
        <v>2.1000000000000001E-2</v>
      </c>
      <c r="N1106" s="109">
        <v>154.5</v>
      </c>
      <c r="O1106" s="15"/>
      <c r="P1106" s="15"/>
      <c r="Q1106" s="15"/>
      <c r="R1106" s="15"/>
      <c r="S1106" s="15"/>
      <c r="T1106" s="15"/>
      <c r="U1106" s="15"/>
      <c r="V1106" s="15"/>
      <c r="W1106" s="15"/>
      <c r="X1106" s="15"/>
      <c r="Y1106" s="15"/>
    </row>
    <row r="1107" spans="2:26" ht="14" customHeight="1" x14ac:dyDescent="0.25">
      <c r="B1107" s="95">
        <v>7</v>
      </c>
      <c r="C1107" s="15" t="s">
        <v>589</v>
      </c>
      <c r="D1107" s="15">
        <v>0.49</v>
      </c>
      <c r="E1107" s="16">
        <v>1.9E-2</v>
      </c>
      <c r="F1107" s="16"/>
      <c r="G1107" s="16"/>
      <c r="H1107" s="104">
        <v>26.2</v>
      </c>
      <c r="I1107" s="59"/>
      <c r="J1107" s="95">
        <v>7</v>
      </c>
      <c r="K1107" s="9" t="s">
        <v>73</v>
      </c>
      <c r="L1107" s="59">
        <v>3</v>
      </c>
      <c r="M1107" s="56">
        <v>1.9E-2</v>
      </c>
      <c r="N1107" s="109">
        <v>154.5</v>
      </c>
      <c r="O1107" s="15"/>
      <c r="P1107" s="15"/>
      <c r="Q1107" s="15"/>
      <c r="R1107" s="15"/>
      <c r="S1107" s="15"/>
      <c r="T1107" s="15"/>
      <c r="U1107" s="15"/>
      <c r="V1107" s="15"/>
      <c r="W1107" s="15"/>
      <c r="X1107" s="15"/>
      <c r="Y1107" s="15"/>
    </row>
    <row r="1108" spans="2:26" ht="14" customHeight="1" x14ac:dyDescent="0.25">
      <c r="B1108" s="95">
        <v>8</v>
      </c>
      <c r="C1108" s="15" t="s">
        <v>185</v>
      </c>
      <c r="D1108" s="15">
        <v>0.47</v>
      </c>
      <c r="E1108" s="16">
        <v>1.7999999999999999E-2</v>
      </c>
      <c r="F1108" s="16"/>
      <c r="G1108" s="16"/>
      <c r="H1108" s="104">
        <v>26.2</v>
      </c>
      <c r="I1108" s="59"/>
      <c r="J1108" s="95">
        <v>8</v>
      </c>
      <c r="K1108" s="9" t="s">
        <v>590</v>
      </c>
      <c r="L1108" s="59">
        <v>2.92</v>
      </c>
      <c r="M1108" s="56">
        <v>1.9E-2</v>
      </c>
      <c r="N1108" s="109">
        <v>154.5</v>
      </c>
      <c r="O1108" s="15"/>
      <c r="P1108" s="15"/>
      <c r="Q1108" s="15"/>
      <c r="R1108" s="15"/>
      <c r="S1108" s="15"/>
      <c r="T1108" s="15"/>
      <c r="U1108" s="15"/>
      <c r="V1108" s="15"/>
      <c r="W1108" s="15"/>
      <c r="X1108" s="15"/>
      <c r="Y1108" s="15"/>
    </row>
    <row r="1109" spans="2:26" ht="14" customHeight="1" x14ac:dyDescent="0.25">
      <c r="B1109" s="95">
        <v>9</v>
      </c>
      <c r="C1109" s="15" t="s">
        <v>181</v>
      </c>
      <c r="D1109" s="15">
        <v>0.42</v>
      </c>
      <c r="E1109" s="16">
        <v>1.6E-2</v>
      </c>
      <c r="F1109" s="16"/>
      <c r="G1109" s="16"/>
      <c r="H1109" s="104">
        <v>26.2</v>
      </c>
      <c r="I1109" s="59"/>
      <c r="J1109" s="95">
        <v>9</v>
      </c>
      <c r="K1109" s="9" t="s">
        <v>357</v>
      </c>
      <c r="L1109" s="59">
        <v>2.4500000000000002</v>
      </c>
      <c r="M1109" s="56">
        <v>1.6E-2</v>
      </c>
      <c r="N1109" s="109">
        <v>154.5</v>
      </c>
      <c r="O1109" s="15"/>
      <c r="P1109" s="15"/>
      <c r="Q1109" s="15"/>
      <c r="R1109" s="15"/>
      <c r="S1109" s="15"/>
      <c r="T1109" s="15"/>
      <c r="U1109" s="15"/>
      <c r="V1109" s="15"/>
      <c r="W1109" s="15"/>
      <c r="X1109" s="15"/>
      <c r="Y1109" s="15"/>
    </row>
    <row r="1110" spans="2:26" ht="14" customHeight="1" x14ac:dyDescent="0.25">
      <c r="B1110" s="97">
        <v>10</v>
      </c>
      <c r="C1110" s="70" t="s">
        <v>103</v>
      </c>
      <c r="D1110" s="70">
        <v>0.33</v>
      </c>
      <c r="E1110" s="71">
        <v>1.2999999999999999E-2</v>
      </c>
      <c r="F1110" s="71"/>
      <c r="G1110" s="71"/>
      <c r="H1110" s="105">
        <v>26.2</v>
      </c>
      <c r="I1110" s="59"/>
      <c r="J1110" s="97">
        <v>10</v>
      </c>
      <c r="K1110" s="110" t="s">
        <v>129</v>
      </c>
      <c r="L1110" s="72">
        <v>2.06</v>
      </c>
      <c r="M1110" s="73">
        <v>1.2999999999999999E-2</v>
      </c>
      <c r="N1110" s="111">
        <v>154.5</v>
      </c>
      <c r="O1110" s="15"/>
      <c r="P1110" s="15"/>
      <c r="Q1110" s="15"/>
      <c r="R1110" s="15"/>
      <c r="S1110" s="15"/>
      <c r="T1110" s="15"/>
      <c r="U1110" s="15"/>
      <c r="V1110" s="15"/>
      <c r="W1110" s="15"/>
      <c r="X1110" s="15"/>
      <c r="Y1110" s="15"/>
    </row>
    <row r="1111" spans="2:26" ht="14" customHeight="1" x14ac:dyDescent="0.25">
      <c r="O1111" s="234"/>
      <c r="P1111" s="15"/>
      <c r="Q1111" s="15"/>
      <c r="R1111" s="15"/>
      <c r="S1111" s="15"/>
      <c r="T1111" s="15"/>
      <c r="U1111" s="15"/>
      <c r="V1111" s="15"/>
      <c r="W1111" s="15"/>
      <c r="X1111" s="15"/>
      <c r="Y1111" s="15"/>
      <c r="Z1111" s="15"/>
    </row>
    <row r="1112" spans="2:26" ht="14" customHeight="1" x14ac:dyDescent="0.25">
      <c r="B1112" s="15" t="s">
        <v>591</v>
      </c>
      <c r="D1112" s="48"/>
      <c r="E1112" s="53"/>
      <c r="F1112" s="53"/>
      <c r="G1112" s="53"/>
      <c r="H1112" s="15" t="s">
        <v>581</v>
      </c>
      <c r="J1112" s="15" t="s">
        <v>592</v>
      </c>
      <c r="L1112" s="48"/>
      <c r="M1112" s="16"/>
      <c r="O1112" s="234"/>
      <c r="P1112" s="15"/>
      <c r="Q1112" s="15"/>
      <c r="R1112" s="15"/>
      <c r="S1112" s="15"/>
      <c r="T1112" s="15"/>
      <c r="U1112" s="15"/>
      <c r="V1112" s="15"/>
      <c r="W1112" s="15"/>
      <c r="X1112" s="15"/>
      <c r="Y1112" s="15"/>
      <c r="Z1112" s="15"/>
    </row>
    <row r="1113" spans="2:26" ht="14" customHeight="1" x14ac:dyDescent="0.25">
      <c r="B1113" s="93" t="s">
        <v>582</v>
      </c>
      <c r="C1113" s="85" t="s">
        <v>335</v>
      </c>
      <c r="D1113" s="87" t="s">
        <v>583</v>
      </c>
      <c r="E1113" s="107" t="s">
        <v>337</v>
      </c>
      <c r="F1113" s="107"/>
      <c r="G1113" s="107"/>
      <c r="H1113" s="108" t="s">
        <v>584</v>
      </c>
      <c r="I1113" s="59"/>
      <c r="J1113" s="93" t="s">
        <v>582</v>
      </c>
      <c r="K1113" s="85" t="s">
        <v>335</v>
      </c>
      <c r="L1113" s="87" t="s">
        <v>583</v>
      </c>
      <c r="M1113" s="107" t="s">
        <v>337</v>
      </c>
      <c r="N1113" s="108" t="s">
        <v>587</v>
      </c>
      <c r="O1113" s="234"/>
      <c r="P1113" s="15"/>
      <c r="Q1113" s="15"/>
      <c r="R1113" s="15"/>
      <c r="S1113" s="15"/>
      <c r="T1113" s="15"/>
      <c r="U1113" s="15"/>
      <c r="V1113" s="15"/>
      <c r="W1113" s="15"/>
      <c r="X1113" s="15"/>
      <c r="Y1113" s="15"/>
      <c r="Z1113" s="15"/>
    </row>
    <row r="1114" spans="2:26" ht="14" customHeight="1" x14ac:dyDescent="0.25">
      <c r="B1114" s="95">
        <v>1</v>
      </c>
      <c r="C1114" s="9" t="s">
        <v>68</v>
      </c>
      <c r="D1114" s="112">
        <v>11.45</v>
      </c>
      <c r="E1114" s="113">
        <v>0.55000000000000004</v>
      </c>
      <c r="F1114" s="113"/>
      <c r="G1114" s="113"/>
      <c r="H1114" s="104">
        <v>20.824999999999999</v>
      </c>
      <c r="I1114" s="59"/>
      <c r="J1114" s="95">
        <v>1</v>
      </c>
      <c r="K1114" s="9" t="s">
        <v>68</v>
      </c>
      <c r="L1114" s="112">
        <v>65.930000000000007</v>
      </c>
      <c r="M1114" s="113">
        <f t="shared" ref="M1114:M1123" si="52">L1114/N1114</f>
        <v>0.51396987745174472</v>
      </c>
      <c r="N1114" s="104">
        <v>128.27600000000001</v>
      </c>
      <c r="O1114" s="234"/>
      <c r="P1114" s="15"/>
      <c r="Q1114" s="15"/>
      <c r="R1114" s="15"/>
      <c r="S1114" s="15"/>
      <c r="T1114" s="15"/>
      <c r="U1114" s="15"/>
      <c r="V1114" s="15"/>
      <c r="W1114" s="15"/>
      <c r="X1114" s="15"/>
      <c r="Y1114" s="15"/>
      <c r="Z1114" s="15"/>
    </row>
    <row r="1115" spans="2:26" ht="14" customHeight="1" x14ac:dyDescent="0.25">
      <c r="B1115" s="95">
        <v>2</v>
      </c>
      <c r="C1115" s="9" t="s">
        <v>69</v>
      </c>
      <c r="D1115" s="112">
        <v>3.46</v>
      </c>
      <c r="E1115" s="113">
        <v>0.20399999999999999</v>
      </c>
      <c r="F1115" s="113"/>
      <c r="G1115" s="113"/>
      <c r="H1115" s="104">
        <v>20.824999999999999</v>
      </c>
      <c r="I1115" s="59"/>
      <c r="J1115" s="95">
        <v>2</v>
      </c>
      <c r="K1115" s="9" t="s">
        <v>69</v>
      </c>
      <c r="L1115" s="112">
        <v>21.34</v>
      </c>
      <c r="M1115" s="113">
        <f t="shared" si="52"/>
        <v>0.16636003617200409</v>
      </c>
      <c r="N1115" s="104">
        <v>128.27600000000001</v>
      </c>
      <c r="O1115" s="234"/>
      <c r="P1115" s="15"/>
      <c r="Q1115" s="15"/>
      <c r="R1115" s="15"/>
      <c r="S1115" s="15"/>
      <c r="T1115" s="15"/>
      <c r="U1115" s="15"/>
      <c r="V1115" s="15"/>
      <c r="W1115" s="15"/>
      <c r="X1115" s="15"/>
      <c r="Y1115" s="15"/>
      <c r="Z1115" s="15"/>
    </row>
    <row r="1116" spans="2:26" ht="14" customHeight="1" x14ac:dyDescent="0.25">
      <c r="B1116" s="95">
        <v>3</v>
      </c>
      <c r="C1116" s="9" t="s">
        <v>588</v>
      </c>
      <c r="D1116" s="112">
        <v>1.0900000000000001</v>
      </c>
      <c r="E1116" s="113">
        <f t="shared" ref="E1116:E1123" si="53">D1116/H1116</f>
        <v>5.2340936374549826E-2</v>
      </c>
      <c r="F1116" s="113"/>
      <c r="G1116" s="113"/>
      <c r="H1116" s="104">
        <v>20.824999999999999</v>
      </c>
      <c r="I1116" s="59"/>
      <c r="J1116" s="95">
        <v>3</v>
      </c>
      <c r="K1116" s="9" t="s">
        <v>588</v>
      </c>
      <c r="L1116" s="112">
        <v>7.5</v>
      </c>
      <c r="M1116" s="113">
        <f t="shared" si="52"/>
        <v>5.8467679067011752E-2</v>
      </c>
      <c r="N1116" s="104">
        <v>128.27600000000001</v>
      </c>
      <c r="O1116" s="234"/>
      <c r="P1116" s="15"/>
      <c r="Q1116" s="15"/>
      <c r="R1116" s="15"/>
      <c r="S1116" s="15"/>
      <c r="T1116" s="15"/>
      <c r="U1116" s="15"/>
      <c r="V1116" s="15"/>
      <c r="W1116" s="15"/>
      <c r="X1116" s="15"/>
      <c r="Y1116" s="15"/>
      <c r="Z1116" s="15"/>
    </row>
    <row r="1117" spans="2:26" ht="14" customHeight="1" x14ac:dyDescent="0.25">
      <c r="B1117" s="95">
        <v>4</v>
      </c>
      <c r="C1117" s="9" t="s">
        <v>70</v>
      </c>
      <c r="D1117" s="112">
        <v>1.08</v>
      </c>
      <c r="E1117" s="113">
        <f t="shared" si="53"/>
        <v>5.1860744297719093E-2</v>
      </c>
      <c r="F1117" s="113"/>
      <c r="G1117" s="113"/>
      <c r="H1117" s="104">
        <v>20.824999999999999</v>
      </c>
      <c r="I1117" s="59"/>
      <c r="J1117" s="95">
        <v>4</v>
      </c>
      <c r="K1117" s="9" t="s">
        <v>70</v>
      </c>
      <c r="L1117" s="112">
        <v>6.6</v>
      </c>
      <c r="M1117" s="113">
        <f t="shared" si="52"/>
        <v>5.1451557578970339E-2</v>
      </c>
      <c r="N1117" s="104">
        <v>128.27600000000001</v>
      </c>
      <c r="O1117" s="234"/>
      <c r="P1117" s="15"/>
      <c r="Q1117" s="15"/>
      <c r="R1117" s="15"/>
      <c r="S1117" s="15"/>
      <c r="T1117" s="15"/>
      <c r="U1117" s="15"/>
      <c r="V1117" s="15"/>
      <c r="W1117" s="15"/>
      <c r="X1117" s="15"/>
      <c r="Y1117" s="15"/>
      <c r="Z1117" s="15"/>
    </row>
    <row r="1118" spans="2:26" ht="14" customHeight="1" x14ac:dyDescent="0.25">
      <c r="B1118" s="95">
        <v>5</v>
      </c>
      <c r="C1118" s="9" t="s">
        <v>74</v>
      </c>
      <c r="D1118" s="112">
        <v>0.56000000000000005</v>
      </c>
      <c r="E1118" s="113">
        <f t="shared" si="53"/>
        <v>2.6890756302521013E-2</v>
      </c>
      <c r="F1118" s="113"/>
      <c r="G1118" s="113"/>
      <c r="H1118" s="104">
        <v>20.824999999999999</v>
      </c>
      <c r="I1118" s="59"/>
      <c r="J1118" s="95">
        <v>5</v>
      </c>
      <c r="K1118" s="9" t="s">
        <v>127</v>
      </c>
      <c r="L1118" s="112">
        <v>5.36</v>
      </c>
      <c r="M1118" s="113">
        <f t="shared" si="52"/>
        <v>4.1784901306557737E-2</v>
      </c>
      <c r="N1118" s="104">
        <v>128.27600000000001</v>
      </c>
      <c r="O1118" s="234"/>
      <c r="P1118" s="15"/>
      <c r="Q1118" s="15"/>
      <c r="R1118" s="15"/>
      <c r="S1118" s="15"/>
      <c r="T1118" s="15"/>
      <c r="U1118" s="15"/>
      <c r="V1118" s="15"/>
      <c r="W1118" s="15"/>
      <c r="X1118" s="15"/>
      <c r="Y1118" s="15"/>
      <c r="Z1118" s="15"/>
    </row>
    <row r="1119" spans="2:26" ht="14" customHeight="1" x14ac:dyDescent="0.25">
      <c r="B1119" s="95">
        <v>6</v>
      </c>
      <c r="C1119" s="9" t="s">
        <v>590</v>
      </c>
      <c r="D1119" s="112">
        <v>0.5</v>
      </c>
      <c r="E1119" s="113">
        <f t="shared" si="53"/>
        <v>2.4009603841536616E-2</v>
      </c>
      <c r="F1119" s="113"/>
      <c r="G1119" s="113"/>
      <c r="H1119" s="104">
        <v>20.824999999999999</v>
      </c>
      <c r="I1119" s="59"/>
      <c r="J1119" s="95">
        <v>6</v>
      </c>
      <c r="K1119" s="9" t="s">
        <v>74</v>
      </c>
      <c r="L1119" s="112">
        <v>2.61</v>
      </c>
      <c r="M1119" s="113">
        <f t="shared" si="52"/>
        <v>2.0346752315320089E-2</v>
      </c>
      <c r="N1119" s="104">
        <v>128.27600000000001</v>
      </c>
      <c r="O1119" s="234"/>
      <c r="P1119" s="15"/>
      <c r="Q1119" s="15"/>
      <c r="R1119" s="15"/>
      <c r="S1119" s="15"/>
      <c r="T1119" s="15"/>
      <c r="U1119" s="15"/>
      <c r="V1119" s="15"/>
      <c r="W1119" s="15"/>
      <c r="X1119" s="15"/>
      <c r="Y1119" s="15"/>
      <c r="Z1119" s="15"/>
    </row>
    <row r="1120" spans="2:26" ht="14" customHeight="1" x14ac:dyDescent="0.25">
      <c r="B1120" s="95">
        <v>7</v>
      </c>
      <c r="C1120" s="9" t="s">
        <v>73</v>
      </c>
      <c r="D1120" s="112">
        <v>0.47</v>
      </c>
      <c r="E1120" s="113">
        <f t="shared" si="53"/>
        <v>2.2569027611044418E-2</v>
      </c>
      <c r="F1120" s="113"/>
      <c r="G1120" s="113"/>
      <c r="H1120" s="104">
        <v>20.824999999999999</v>
      </c>
      <c r="I1120" s="59"/>
      <c r="J1120" s="95">
        <v>7</v>
      </c>
      <c r="K1120" s="9" t="s">
        <v>73</v>
      </c>
      <c r="L1120" s="112">
        <v>2.59</v>
      </c>
      <c r="M1120" s="113">
        <f t="shared" si="52"/>
        <v>2.0190838504474725E-2</v>
      </c>
      <c r="N1120" s="104">
        <v>128.27600000000001</v>
      </c>
      <c r="O1120" s="157"/>
      <c r="P1120" s="15"/>
      <c r="Q1120" s="15"/>
      <c r="R1120" s="15"/>
      <c r="S1120" s="15"/>
      <c r="T1120" s="15"/>
      <c r="U1120" s="15"/>
      <c r="V1120" s="15"/>
      <c r="W1120" s="15"/>
      <c r="X1120" s="15"/>
      <c r="Y1120" s="15"/>
      <c r="Z1120" s="15"/>
    </row>
    <row r="1121" spans="2:26" ht="14" customHeight="1" x14ac:dyDescent="0.25">
      <c r="B1121" s="95">
        <v>8</v>
      </c>
      <c r="C1121" s="9" t="s">
        <v>357</v>
      </c>
      <c r="D1121" s="112">
        <v>0.33</v>
      </c>
      <c r="E1121" s="113">
        <f t="shared" si="53"/>
        <v>1.5846338535414166E-2</v>
      </c>
      <c r="F1121" s="113"/>
      <c r="G1121" s="113"/>
      <c r="H1121" s="104">
        <v>20.824999999999999</v>
      </c>
      <c r="I1121" s="59"/>
      <c r="J1121" s="95">
        <v>8</v>
      </c>
      <c r="K1121" s="9" t="s">
        <v>590</v>
      </c>
      <c r="L1121" s="112">
        <v>2.5099999999999998</v>
      </c>
      <c r="M1121" s="113">
        <f t="shared" si="52"/>
        <v>1.9567183261093263E-2</v>
      </c>
      <c r="N1121" s="104">
        <v>128.27600000000001</v>
      </c>
      <c r="P1121" s="15"/>
      <c r="Q1121" s="15"/>
      <c r="R1121" s="15"/>
      <c r="S1121" s="15"/>
      <c r="T1121" s="15"/>
      <c r="U1121" s="15"/>
      <c r="V1121" s="15"/>
      <c r="W1121" s="15"/>
      <c r="X1121" s="15"/>
      <c r="Y1121" s="15"/>
      <c r="Z1121" s="15"/>
    </row>
    <row r="1122" spans="2:26" ht="14" customHeight="1" x14ac:dyDescent="0.25">
      <c r="B1122" s="95">
        <v>9</v>
      </c>
      <c r="C1122" s="9" t="s">
        <v>129</v>
      </c>
      <c r="D1122" s="112">
        <v>0.28000000000000003</v>
      </c>
      <c r="E1122" s="113">
        <f t="shared" si="53"/>
        <v>1.3445378151260507E-2</v>
      </c>
      <c r="F1122" s="113"/>
      <c r="G1122" s="113"/>
      <c r="H1122" s="104">
        <v>20.824999999999999</v>
      </c>
      <c r="I1122" s="59"/>
      <c r="J1122" s="95">
        <v>9</v>
      </c>
      <c r="K1122" s="9" t="s">
        <v>357</v>
      </c>
      <c r="L1122" s="112">
        <v>1.98</v>
      </c>
      <c r="M1122" s="113">
        <f t="shared" si="52"/>
        <v>1.5435467273691102E-2</v>
      </c>
      <c r="N1122" s="104">
        <v>128.27600000000001</v>
      </c>
      <c r="O1122" s="49"/>
      <c r="P1122" s="15"/>
      <c r="Q1122" s="15"/>
      <c r="R1122" s="15"/>
      <c r="S1122" s="15"/>
      <c r="T1122" s="15"/>
      <c r="U1122" s="15"/>
      <c r="V1122" s="15"/>
      <c r="W1122" s="15"/>
      <c r="X1122" s="15"/>
      <c r="Y1122" s="15"/>
      <c r="Z1122" s="15"/>
    </row>
    <row r="1123" spans="2:26" ht="14" customHeight="1" x14ac:dyDescent="0.25">
      <c r="B1123" s="97">
        <v>10</v>
      </c>
      <c r="C1123" s="110" t="s">
        <v>127</v>
      </c>
      <c r="D1123" s="114">
        <v>0.24</v>
      </c>
      <c r="E1123" s="115">
        <f t="shared" si="53"/>
        <v>1.1524609843937574E-2</v>
      </c>
      <c r="F1123" s="115"/>
      <c r="G1123" s="115"/>
      <c r="H1123" s="105">
        <v>20.824999999999999</v>
      </c>
      <c r="I1123" s="59"/>
      <c r="J1123" s="97">
        <v>10</v>
      </c>
      <c r="K1123" s="110" t="s">
        <v>129</v>
      </c>
      <c r="L1123" s="114">
        <v>1.64</v>
      </c>
      <c r="M1123" s="115">
        <f t="shared" si="52"/>
        <v>1.2784932489319903E-2</v>
      </c>
      <c r="N1123" s="105">
        <v>128.27600000000001</v>
      </c>
      <c r="O1123" s="234"/>
      <c r="P1123" s="15"/>
      <c r="Q1123" s="15"/>
      <c r="R1123" s="15"/>
      <c r="S1123" s="15"/>
      <c r="T1123" s="15"/>
      <c r="U1123" s="15"/>
      <c r="V1123" s="15"/>
      <c r="W1123" s="15"/>
      <c r="X1123" s="15"/>
      <c r="Y1123" s="15"/>
      <c r="Z1123" s="15"/>
    </row>
    <row r="1124" spans="2:26" ht="14" customHeight="1" x14ac:dyDescent="0.25">
      <c r="O1124" s="234"/>
      <c r="P1124" s="15"/>
      <c r="Q1124" s="15"/>
      <c r="R1124" s="15"/>
      <c r="S1124" s="15"/>
      <c r="T1124" s="15"/>
      <c r="U1124" s="15"/>
      <c r="V1124" s="15"/>
      <c r="W1124" s="15"/>
      <c r="X1124" s="15"/>
      <c r="Y1124" s="15"/>
      <c r="Z1124" s="15"/>
    </row>
    <row r="1125" spans="2:26" ht="14" customHeight="1" x14ac:dyDescent="0.25">
      <c r="B1125" s="15" t="s">
        <v>593</v>
      </c>
      <c r="D1125" s="48"/>
      <c r="E1125" s="53"/>
      <c r="F1125" s="53"/>
      <c r="G1125" s="53"/>
      <c r="H1125" s="15" t="s">
        <v>581</v>
      </c>
      <c r="J1125" s="15" t="s">
        <v>594</v>
      </c>
      <c r="L1125" s="48"/>
      <c r="M1125" s="16"/>
      <c r="O1125" s="234"/>
      <c r="P1125" s="15"/>
      <c r="Q1125" s="15"/>
      <c r="R1125" s="15"/>
      <c r="S1125" s="15"/>
      <c r="T1125" s="15"/>
      <c r="U1125" s="15"/>
      <c r="V1125" s="15"/>
      <c r="W1125" s="15"/>
      <c r="X1125" s="15"/>
      <c r="Y1125" s="15"/>
      <c r="Z1125" s="15"/>
    </row>
    <row r="1126" spans="2:26" ht="14" customHeight="1" x14ac:dyDescent="0.25">
      <c r="B1126" s="93" t="s">
        <v>582</v>
      </c>
      <c r="C1126" s="85" t="s">
        <v>335</v>
      </c>
      <c r="D1126" s="87" t="s">
        <v>583</v>
      </c>
      <c r="E1126" s="107" t="s">
        <v>337</v>
      </c>
      <c r="F1126" s="107"/>
      <c r="G1126" s="107"/>
      <c r="H1126" s="108" t="s">
        <v>584</v>
      </c>
      <c r="I1126" s="59"/>
      <c r="J1126" s="93" t="s">
        <v>582</v>
      </c>
      <c r="K1126" s="85" t="s">
        <v>335</v>
      </c>
      <c r="L1126" s="87" t="s">
        <v>583</v>
      </c>
      <c r="M1126" s="107" t="s">
        <v>337</v>
      </c>
      <c r="N1126" s="108" t="s">
        <v>587</v>
      </c>
      <c r="O1126" s="234"/>
      <c r="P1126" s="15"/>
      <c r="Q1126" s="15"/>
      <c r="R1126" s="15"/>
      <c r="S1126" s="15"/>
      <c r="T1126" s="15"/>
      <c r="U1126" s="15"/>
      <c r="V1126" s="15"/>
      <c r="W1126" s="15"/>
      <c r="X1126" s="15"/>
      <c r="Y1126" s="15"/>
      <c r="Z1126" s="15"/>
    </row>
    <row r="1127" spans="2:26" ht="14" customHeight="1" x14ac:dyDescent="0.25">
      <c r="B1127" s="95">
        <v>1</v>
      </c>
      <c r="C1127" s="9" t="s">
        <v>68</v>
      </c>
      <c r="D1127" s="112">
        <v>7.69</v>
      </c>
      <c r="E1127" s="45">
        <v>0.499</v>
      </c>
      <c r="F1127" s="45"/>
      <c r="G1127" s="45"/>
      <c r="H1127" s="104">
        <v>15.42</v>
      </c>
      <c r="I1127" s="59"/>
      <c r="J1127" s="95">
        <v>1</v>
      </c>
      <c r="K1127" s="9" t="s">
        <v>68</v>
      </c>
      <c r="L1127" s="112">
        <v>54.48</v>
      </c>
      <c r="M1127" s="45">
        <f t="shared" ref="M1127:M1136" si="54">L1127/N1127</f>
        <v>0.50702652396463466</v>
      </c>
      <c r="N1127" s="104">
        <v>107.45</v>
      </c>
      <c r="O1127" s="234"/>
      <c r="P1127" s="15"/>
      <c r="Q1127" s="15"/>
      <c r="R1127" s="15"/>
      <c r="S1127" s="15"/>
      <c r="T1127" s="15"/>
      <c r="U1127" s="15"/>
      <c r="V1127" s="15"/>
      <c r="W1127" s="15"/>
      <c r="X1127" s="15"/>
      <c r="Y1127" s="15"/>
      <c r="Z1127" s="15"/>
    </row>
    <row r="1128" spans="2:26" ht="14" customHeight="1" x14ac:dyDescent="0.25">
      <c r="B1128" s="95">
        <v>2</v>
      </c>
      <c r="C1128" s="9" t="s">
        <v>69</v>
      </c>
      <c r="D1128" s="112">
        <v>3.15</v>
      </c>
      <c r="E1128" s="45">
        <v>0.20399999999999999</v>
      </c>
      <c r="F1128" s="45"/>
      <c r="G1128" s="45"/>
      <c r="H1128" s="104">
        <v>15.42</v>
      </c>
      <c r="I1128" s="59"/>
      <c r="J1128" s="95">
        <v>2</v>
      </c>
      <c r="K1128" s="9" t="s">
        <v>69</v>
      </c>
      <c r="L1128" s="112">
        <v>17.88</v>
      </c>
      <c r="M1128" s="45">
        <f t="shared" si="54"/>
        <v>0.16640297812936247</v>
      </c>
      <c r="N1128" s="104">
        <v>107.45</v>
      </c>
      <c r="O1128" s="234"/>
      <c r="P1128" s="15"/>
      <c r="Q1128" s="15"/>
      <c r="R1128" s="15"/>
      <c r="S1128" s="15"/>
      <c r="T1128" s="15"/>
      <c r="U1128" s="15"/>
      <c r="V1128" s="15"/>
      <c r="W1128" s="15"/>
      <c r="X1128" s="15"/>
      <c r="Y1128" s="15"/>
      <c r="Z1128" s="15"/>
    </row>
    <row r="1129" spans="2:26" ht="14" customHeight="1" x14ac:dyDescent="0.25">
      <c r="B1129" s="95">
        <v>3</v>
      </c>
      <c r="C1129" s="9" t="s">
        <v>70</v>
      </c>
      <c r="D1129" s="112">
        <v>0.8</v>
      </c>
      <c r="E1129" s="45">
        <f t="shared" ref="E1129:E1136" si="55">D1129/H1129</f>
        <v>5.1880674448767837E-2</v>
      </c>
      <c r="F1129" s="45"/>
      <c r="G1129" s="45"/>
      <c r="H1129" s="104">
        <v>15.42</v>
      </c>
      <c r="I1129" s="59"/>
      <c r="J1129" s="95">
        <v>3</v>
      </c>
      <c r="K1129" s="9" t="s">
        <v>595</v>
      </c>
      <c r="L1129" s="112">
        <v>6.42</v>
      </c>
      <c r="M1129" s="45">
        <f t="shared" si="54"/>
        <v>5.974872033503955E-2</v>
      </c>
      <c r="N1129" s="104">
        <v>107.45</v>
      </c>
      <c r="O1129" s="234"/>
      <c r="P1129" s="15"/>
      <c r="Q1129" s="15"/>
      <c r="R1129" s="15"/>
      <c r="S1129" s="15"/>
      <c r="T1129" s="15"/>
      <c r="U1129" s="15"/>
      <c r="V1129" s="15"/>
      <c r="W1129" s="15"/>
      <c r="X1129" s="15"/>
      <c r="Y1129" s="15"/>
      <c r="Z1129" s="15"/>
    </row>
    <row r="1130" spans="2:26" ht="14" customHeight="1" x14ac:dyDescent="0.25">
      <c r="B1130" s="95">
        <v>4</v>
      </c>
      <c r="C1130" s="9" t="s">
        <v>595</v>
      </c>
      <c r="D1130" s="112">
        <v>0.78</v>
      </c>
      <c r="E1130" s="45">
        <f t="shared" si="55"/>
        <v>5.0583657587548639E-2</v>
      </c>
      <c r="F1130" s="45"/>
      <c r="G1130" s="45"/>
      <c r="H1130" s="104">
        <v>15.42</v>
      </c>
      <c r="I1130" s="59"/>
      <c r="J1130" s="95">
        <v>4</v>
      </c>
      <c r="K1130" s="9" t="s">
        <v>70</v>
      </c>
      <c r="L1130" s="112">
        <v>5.52</v>
      </c>
      <c r="M1130" s="45">
        <f t="shared" si="54"/>
        <v>5.1372731503024655E-2</v>
      </c>
      <c r="N1130" s="104">
        <v>107.45</v>
      </c>
      <c r="O1130" s="234"/>
      <c r="P1130" s="15"/>
      <c r="Q1130" s="15"/>
      <c r="R1130" s="15"/>
      <c r="S1130" s="15"/>
      <c r="T1130" s="15"/>
      <c r="U1130" s="15"/>
      <c r="V1130" s="15"/>
      <c r="W1130" s="15"/>
      <c r="X1130" s="15"/>
      <c r="Y1130" s="15"/>
      <c r="Z1130" s="15"/>
    </row>
    <row r="1131" spans="2:26" ht="14" customHeight="1" x14ac:dyDescent="0.25">
      <c r="B1131" s="95">
        <v>5</v>
      </c>
      <c r="C1131" s="9" t="s">
        <v>590</v>
      </c>
      <c r="D1131" s="112">
        <v>0.48</v>
      </c>
      <c r="E1131" s="45">
        <f t="shared" si="55"/>
        <v>3.1128404669260701E-2</v>
      </c>
      <c r="F1131" s="45"/>
      <c r="G1131" s="45"/>
      <c r="H1131" s="104">
        <v>15.42</v>
      </c>
      <c r="I1131" s="59"/>
      <c r="J1131" s="95">
        <v>5</v>
      </c>
      <c r="K1131" s="9" t="s">
        <v>127</v>
      </c>
      <c r="L1131" s="112">
        <v>5.12</v>
      </c>
      <c r="M1131" s="45">
        <f t="shared" si="54"/>
        <v>4.7650069799906936E-2</v>
      </c>
      <c r="N1131" s="104">
        <v>107.45</v>
      </c>
      <c r="O1131" s="234"/>
      <c r="P1131" s="15"/>
      <c r="Q1131" s="15"/>
      <c r="R1131" s="15"/>
      <c r="S1131" s="15"/>
      <c r="T1131" s="15"/>
      <c r="U1131" s="15"/>
      <c r="V1131" s="15"/>
      <c r="W1131" s="15"/>
      <c r="X1131" s="15"/>
      <c r="Y1131" s="15"/>
      <c r="Z1131" s="15"/>
    </row>
    <row r="1132" spans="2:26" ht="14" customHeight="1" x14ac:dyDescent="0.25">
      <c r="B1132" s="95">
        <v>6</v>
      </c>
      <c r="C1132" s="9" t="s">
        <v>73</v>
      </c>
      <c r="D1132" s="112">
        <v>0.43</v>
      </c>
      <c r="E1132" s="45">
        <f t="shared" si="55"/>
        <v>2.7885862516212709E-2</v>
      </c>
      <c r="F1132" s="45"/>
      <c r="G1132" s="45"/>
      <c r="H1132" s="104">
        <v>15.42</v>
      </c>
      <c r="I1132" s="59"/>
      <c r="J1132" s="95">
        <v>6</v>
      </c>
      <c r="K1132" s="9" t="s">
        <v>73</v>
      </c>
      <c r="L1132" s="112">
        <v>2.12</v>
      </c>
      <c r="M1132" s="45">
        <f t="shared" si="54"/>
        <v>1.9730107026523964E-2</v>
      </c>
      <c r="N1132" s="104">
        <v>107.45</v>
      </c>
      <c r="O1132" s="234"/>
      <c r="P1132" s="15"/>
      <c r="Q1132" s="15"/>
      <c r="R1132" s="15"/>
      <c r="S1132" s="15"/>
      <c r="T1132" s="15"/>
      <c r="U1132" s="15"/>
      <c r="V1132" s="15"/>
      <c r="W1132" s="15"/>
      <c r="X1132" s="15"/>
      <c r="Y1132" s="15"/>
      <c r="Z1132" s="15"/>
    </row>
    <row r="1133" spans="2:26" ht="14" customHeight="1" x14ac:dyDescent="0.25">
      <c r="B1133" s="95">
        <v>7</v>
      </c>
      <c r="C1133" s="9" t="s">
        <v>74</v>
      </c>
      <c r="D1133" s="112">
        <v>0.35</v>
      </c>
      <c r="E1133" s="45">
        <f t="shared" si="55"/>
        <v>2.2697795071335927E-2</v>
      </c>
      <c r="F1133" s="45"/>
      <c r="G1133" s="45"/>
      <c r="H1133" s="104">
        <v>15.42</v>
      </c>
      <c r="I1133" s="59"/>
      <c r="J1133" s="95">
        <v>7</v>
      </c>
      <c r="K1133" s="9" t="s">
        <v>74</v>
      </c>
      <c r="L1133" s="112">
        <v>2.0499999999999998</v>
      </c>
      <c r="M1133" s="45">
        <f t="shared" si="54"/>
        <v>1.9078641228478362E-2</v>
      </c>
      <c r="N1133" s="104">
        <v>107.45</v>
      </c>
      <c r="O1133" s="157"/>
      <c r="P1133" s="15"/>
      <c r="Q1133" s="15"/>
      <c r="R1133" s="15"/>
      <c r="S1133" s="15"/>
      <c r="T1133" s="15"/>
      <c r="U1133" s="15"/>
      <c r="V1133" s="15"/>
      <c r="W1133" s="15"/>
      <c r="X1133" s="15"/>
      <c r="Y1133" s="15"/>
      <c r="Z1133" s="15"/>
    </row>
    <row r="1134" spans="2:26" ht="14" customHeight="1" x14ac:dyDescent="0.25">
      <c r="B1134" s="95">
        <v>8</v>
      </c>
      <c r="C1134" s="9" t="s">
        <v>129</v>
      </c>
      <c r="D1134" s="112">
        <v>0.33</v>
      </c>
      <c r="E1134" s="45">
        <f t="shared" si="55"/>
        <v>2.1400778210116732E-2</v>
      </c>
      <c r="F1134" s="45"/>
      <c r="G1134" s="45"/>
      <c r="H1134" s="104">
        <v>15.42</v>
      </c>
      <c r="I1134" s="59"/>
      <c r="J1134" s="95">
        <v>8</v>
      </c>
      <c r="K1134" s="9" t="s">
        <v>590</v>
      </c>
      <c r="L1134" s="112">
        <v>2.0099999999999998</v>
      </c>
      <c r="M1134" s="45">
        <f t="shared" si="54"/>
        <v>1.8706375058166587E-2</v>
      </c>
      <c r="N1134" s="104">
        <v>107.45</v>
      </c>
      <c r="O1134" s="157"/>
      <c r="P1134" s="15"/>
      <c r="Q1134" s="15"/>
      <c r="R1134" s="15"/>
      <c r="S1134" s="15"/>
      <c r="T1134" s="15"/>
      <c r="U1134" s="15"/>
      <c r="V1134" s="15"/>
      <c r="W1134" s="15"/>
      <c r="X1134" s="15"/>
      <c r="Y1134" s="15"/>
      <c r="Z1134" s="15"/>
    </row>
    <row r="1135" spans="2:26" ht="14" customHeight="1" x14ac:dyDescent="0.25">
      <c r="B1135" s="95">
        <v>9</v>
      </c>
      <c r="C1135" s="9" t="s">
        <v>566</v>
      </c>
      <c r="D1135" s="112">
        <v>0.16</v>
      </c>
      <c r="E1135" s="45">
        <f t="shared" si="55"/>
        <v>1.0376134889753566E-2</v>
      </c>
      <c r="F1135" s="45"/>
      <c r="G1135" s="45"/>
      <c r="H1135" s="104">
        <v>15.42</v>
      </c>
      <c r="I1135" s="59"/>
      <c r="J1135" s="95">
        <v>9</v>
      </c>
      <c r="K1135" s="9" t="s">
        <v>357</v>
      </c>
      <c r="L1135" s="112">
        <v>1.65</v>
      </c>
      <c r="M1135" s="45">
        <f t="shared" si="54"/>
        <v>1.5355979525360632E-2</v>
      </c>
      <c r="N1135" s="104">
        <v>107.45</v>
      </c>
      <c r="O1135" s="157"/>
      <c r="P1135" s="15"/>
      <c r="Q1135" s="15"/>
      <c r="R1135" s="15"/>
      <c r="S1135" s="15"/>
      <c r="T1135" s="15"/>
      <c r="U1135" s="15"/>
      <c r="V1135" s="15"/>
      <c r="W1135" s="15"/>
      <c r="X1135" s="15"/>
      <c r="Y1135" s="15"/>
      <c r="Z1135" s="15"/>
    </row>
    <row r="1136" spans="2:26" ht="14" customHeight="1" x14ac:dyDescent="0.25">
      <c r="B1136" s="97">
        <v>10</v>
      </c>
      <c r="C1136" s="110" t="s">
        <v>357</v>
      </c>
      <c r="D1136" s="114">
        <v>0.16</v>
      </c>
      <c r="E1136" s="116">
        <f t="shared" si="55"/>
        <v>1.0376134889753566E-2</v>
      </c>
      <c r="F1136" s="116"/>
      <c r="G1136" s="116"/>
      <c r="H1136" s="105">
        <v>15.42</v>
      </c>
      <c r="I1136" s="59"/>
      <c r="J1136" s="97">
        <v>10</v>
      </c>
      <c r="K1136" s="110" t="s">
        <v>129</v>
      </c>
      <c r="L1136" s="114">
        <v>1.36</v>
      </c>
      <c r="M1136" s="116">
        <f t="shared" si="54"/>
        <v>1.265704979060028E-2</v>
      </c>
      <c r="N1136" s="105">
        <v>107.45</v>
      </c>
      <c r="O1136" s="49"/>
      <c r="P1136" s="15"/>
      <c r="Q1136" s="15"/>
      <c r="R1136" s="15"/>
      <c r="S1136" s="15"/>
      <c r="T1136" s="15"/>
      <c r="U1136" s="15"/>
      <c r="V1136" s="15"/>
      <c r="W1136" s="15"/>
      <c r="X1136" s="15"/>
      <c r="Y1136" s="15"/>
      <c r="Z1136" s="15"/>
    </row>
    <row r="1137" spans="2:26" ht="14" customHeight="1" x14ac:dyDescent="0.25">
      <c r="B1137" s="59"/>
      <c r="C1137" s="59"/>
      <c r="D1137" s="58"/>
      <c r="E1137" s="56"/>
      <c r="F1137" s="56"/>
      <c r="G1137" s="56"/>
      <c r="H1137" s="59"/>
      <c r="I1137" s="59"/>
      <c r="J1137" s="59"/>
      <c r="K1137" s="59"/>
      <c r="L1137" s="58"/>
      <c r="M1137" s="56"/>
      <c r="N1137" s="59"/>
      <c r="O1137" s="234"/>
      <c r="P1137" s="15"/>
      <c r="Q1137" s="15"/>
      <c r="R1137" s="15"/>
      <c r="S1137" s="15"/>
      <c r="T1137" s="15"/>
      <c r="U1137" s="15"/>
      <c r="V1137" s="15"/>
      <c r="W1137" s="15"/>
      <c r="X1137" s="15"/>
      <c r="Y1137" s="15"/>
      <c r="Z1137" s="15"/>
    </row>
    <row r="1138" spans="2:26" ht="14" customHeight="1" x14ac:dyDescent="0.25">
      <c r="B1138" s="15" t="s">
        <v>596</v>
      </c>
      <c r="D1138" s="48"/>
      <c r="E1138" s="53"/>
      <c r="F1138" s="53"/>
      <c r="G1138" s="53"/>
      <c r="J1138" s="15" t="s">
        <v>597</v>
      </c>
      <c r="L1138" s="48"/>
      <c r="M1138" s="16"/>
      <c r="O1138" s="234"/>
      <c r="P1138" s="15"/>
      <c r="Q1138" s="15"/>
      <c r="R1138" s="15"/>
      <c r="S1138" s="15"/>
      <c r="T1138" s="15"/>
      <c r="U1138" s="15"/>
      <c r="V1138" s="15"/>
      <c r="W1138" s="15"/>
      <c r="X1138" s="15"/>
      <c r="Y1138" s="15"/>
      <c r="Z1138" s="15"/>
    </row>
    <row r="1139" spans="2:26" ht="14" customHeight="1" x14ac:dyDescent="0.25">
      <c r="B1139" s="83" t="s">
        <v>582</v>
      </c>
      <c r="C1139" s="85" t="s">
        <v>335</v>
      </c>
      <c r="D1139" s="87" t="s">
        <v>583</v>
      </c>
      <c r="E1139" s="107" t="s">
        <v>337</v>
      </c>
      <c r="F1139" s="107"/>
      <c r="G1139" s="107"/>
      <c r="H1139" s="108" t="s">
        <v>584</v>
      </c>
      <c r="I1139" s="59"/>
      <c r="J1139" s="83" t="s">
        <v>582</v>
      </c>
      <c r="K1139" s="85" t="s">
        <v>335</v>
      </c>
      <c r="L1139" s="87" t="s">
        <v>583</v>
      </c>
      <c r="M1139" s="107" t="s">
        <v>337</v>
      </c>
      <c r="N1139" s="108" t="s">
        <v>587</v>
      </c>
      <c r="O1139" s="234"/>
      <c r="P1139" s="15"/>
      <c r="Q1139" s="15"/>
      <c r="R1139" s="15"/>
      <c r="S1139" s="15"/>
      <c r="T1139" s="15"/>
      <c r="U1139" s="15"/>
      <c r="V1139" s="15"/>
      <c r="W1139" s="15"/>
      <c r="X1139" s="15"/>
      <c r="Y1139" s="15"/>
      <c r="Z1139" s="15"/>
    </row>
    <row r="1140" spans="2:26" ht="14" customHeight="1" x14ac:dyDescent="0.25">
      <c r="B1140" s="78">
        <v>1</v>
      </c>
      <c r="C1140" s="9" t="s">
        <v>68</v>
      </c>
      <c r="D1140" s="112">
        <v>8.8699999999999992</v>
      </c>
      <c r="E1140" s="45">
        <f t="shared" ref="E1140:E1149" si="56">D1140/H1140</f>
        <v>0.56515893900488701</v>
      </c>
      <c r="F1140" s="45"/>
      <c r="G1140" s="45"/>
      <c r="H1140" s="104">
        <v>15.694699999999999</v>
      </c>
      <c r="I1140" s="59"/>
      <c r="J1140" s="78">
        <v>1</v>
      </c>
      <c r="K1140" s="9" t="s">
        <v>68</v>
      </c>
      <c r="L1140" s="112">
        <v>46.97</v>
      </c>
      <c r="M1140" s="45">
        <f t="shared" ref="M1140:M1149" si="57">L1140/N1140</f>
        <v>0.51036263237157264</v>
      </c>
      <c r="N1140" s="104">
        <v>92.032600000000002</v>
      </c>
      <c r="O1140" s="234"/>
      <c r="P1140" s="15"/>
      <c r="Q1140" s="15"/>
      <c r="R1140" s="15"/>
      <c r="S1140" s="15"/>
      <c r="T1140" s="15"/>
      <c r="U1140" s="15"/>
      <c r="V1140" s="15"/>
      <c r="W1140" s="15"/>
      <c r="X1140" s="15"/>
      <c r="Y1140" s="15"/>
      <c r="Z1140" s="15"/>
    </row>
    <row r="1141" spans="2:26" ht="14" customHeight="1" x14ac:dyDescent="0.25">
      <c r="B1141" s="78">
        <v>2</v>
      </c>
      <c r="C1141" s="9" t="s">
        <v>69</v>
      </c>
      <c r="D1141" s="112">
        <v>2.79</v>
      </c>
      <c r="E1141" s="45">
        <f t="shared" si="56"/>
        <v>0.1777670168910524</v>
      </c>
      <c r="F1141" s="45"/>
      <c r="G1141" s="45"/>
      <c r="H1141" s="104">
        <v>15.694699999999999</v>
      </c>
      <c r="I1141" s="59"/>
      <c r="J1141" s="78">
        <v>2</v>
      </c>
      <c r="K1141" s="9" t="s">
        <v>69</v>
      </c>
      <c r="L1141" s="112">
        <v>14.73</v>
      </c>
      <c r="M1141" s="45">
        <f t="shared" si="57"/>
        <v>0.16005198158043998</v>
      </c>
      <c r="N1141" s="104">
        <v>92.032600000000002</v>
      </c>
      <c r="O1141" s="234"/>
      <c r="P1141" s="15"/>
      <c r="Q1141" s="15"/>
      <c r="R1141" s="15"/>
      <c r="S1141" s="15"/>
      <c r="T1141" s="15"/>
      <c r="U1141" s="15"/>
      <c r="V1141" s="15"/>
      <c r="W1141" s="15"/>
      <c r="X1141" s="15"/>
      <c r="Y1141" s="15"/>
      <c r="Z1141" s="15"/>
    </row>
    <row r="1142" spans="2:26" ht="14" customHeight="1" x14ac:dyDescent="0.25">
      <c r="B1142" s="78">
        <v>3</v>
      </c>
      <c r="C1142" s="9" t="s">
        <v>70</v>
      </c>
      <c r="D1142" s="112">
        <v>0.64</v>
      </c>
      <c r="E1142" s="45">
        <f t="shared" si="56"/>
        <v>4.0778097064614174E-2</v>
      </c>
      <c r="F1142" s="45"/>
      <c r="G1142" s="45"/>
      <c r="H1142" s="104">
        <v>15.694699999999999</v>
      </c>
      <c r="I1142" s="59"/>
      <c r="J1142" s="78">
        <v>3</v>
      </c>
      <c r="K1142" s="9" t="s">
        <v>595</v>
      </c>
      <c r="L1142" s="112">
        <v>5.64</v>
      </c>
      <c r="M1142" s="45">
        <f t="shared" si="57"/>
        <v>6.1282632458498396E-2</v>
      </c>
      <c r="N1142" s="104">
        <v>92.032600000000002</v>
      </c>
      <c r="O1142" s="234"/>
      <c r="P1142" s="15"/>
      <c r="Q1142" s="15"/>
      <c r="R1142" s="15"/>
      <c r="S1142" s="15"/>
      <c r="T1142" s="15"/>
      <c r="U1142" s="15"/>
      <c r="V1142" s="15"/>
      <c r="W1142" s="15"/>
      <c r="X1142" s="15"/>
      <c r="Y1142" s="15"/>
      <c r="Z1142" s="15"/>
    </row>
    <row r="1143" spans="2:26" ht="14" customHeight="1" x14ac:dyDescent="0.25">
      <c r="B1143" s="78">
        <v>4</v>
      </c>
      <c r="C1143" s="9" t="s">
        <v>595</v>
      </c>
      <c r="D1143" s="112">
        <v>0.63</v>
      </c>
      <c r="E1143" s="45">
        <f t="shared" si="56"/>
        <v>4.0140939297979572E-2</v>
      </c>
      <c r="F1143" s="45"/>
      <c r="G1143" s="45"/>
      <c r="H1143" s="104">
        <v>15.694699999999999</v>
      </c>
      <c r="I1143" s="59"/>
      <c r="J1143" s="78">
        <v>4</v>
      </c>
      <c r="K1143" s="9" t="s">
        <v>127</v>
      </c>
      <c r="L1143" s="112">
        <v>5.08</v>
      </c>
      <c r="M1143" s="45">
        <f t="shared" si="57"/>
        <v>5.5197832072548206E-2</v>
      </c>
      <c r="N1143" s="104">
        <v>92.032600000000002</v>
      </c>
      <c r="O1143" s="234"/>
      <c r="P1143" s="15"/>
      <c r="Q1143" s="15"/>
      <c r="R1143" s="15"/>
      <c r="S1143" s="15"/>
      <c r="T1143" s="15"/>
      <c r="U1143" s="15"/>
      <c r="V1143" s="15"/>
      <c r="W1143" s="15"/>
      <c r="X1143" s="15"/>
      <c r="Y1143" s="15"/>
      <c r="Z1143" s="15"/>
    </row>
    <row r="1144" spans="2:26" ht="14" customHeight="1" x14ac:dyDescent="0.25">
      <c r="B1144" s="78">
        <v>5</v>
      </c>
      <c r="C1144" s="9" t="s">
        <v>590</v>
      </c>
      <c r="D1144" s="112">
        <v>0.47</v>
      </c>
      <c r="E1144" s="45">
        <f t="shared" si="56"/>
        <v>2.9946415031826032E-2</v>
      </c>
      <c r="F1144" s="45"/>
      <c r="G1144" s="45"/>
      <c r="H1144" s="104">
        <v>15.694699999999999</v>
      </c>
      <c r="I1144" s="59"/>
      <c r="J1144" s="78">
        <v>5</v>
      </c>
      <c r="K1144" s="9" t="s">
        <v>70</v>
      </c>
      <c r="L1144" s="112">
        <v>4.72</v>
      </c>
      <c r="M1144" s="45">
        <f t="shared" si="57"/>
        <v>5.128617468158022E-2</v>
      </c>
      <c r="N1144" s="104">
        <v>92.032600000000002</v>
      </c>
      <c r="O1144" s="234"/>
      <c r="P1144" s="15"/>
      <c r="Q1144" s="15"/>
      <c r="R1144" s="15"/>
      <c r="S1144" s="15"/>
      <c r="T1144" s="15"/>
      <c r="U1144" s="15"/>
      <c r="V1144" s="15"/>
      <c r="W1144" s="15"/>
      <c r="X1144" s="15"/>
      <c r="Y1144" s="15"/>
      <c r="Z1144" s="15"/>
    </row>
    <row r="1145" spans="2:26" ht="14" customHeight="1" x14ac:dyDescent="0.25">
      <c r="B1145" s="78">
        <v>6</v>
      </c>
      <c r="C1145" s="9" t="s">
        <v>129</v>
      </c>
      <c r="D1145" s="112">
        <v>0.31</v>
      </c>
      <c r="E1145" s="45">
        <f t="shared" si="56"/>
        <v>1.9751890765672488E-2</v>
      </c>
      <c r="F1145" s="45"/>
      <c r="G1145" s="45"/>
      <c r="H1145" s="104">
        <v>15.694699999999999</v>
      </c>
      <c r="I1145" s="59"/>
      <c r="J1145" s="78">
        <v>6</v>
      </c>
      <c r="K1145" s="9" t="s">
        <v>74</v>
      </c>
      <c r="L1145" s="112">
        <v>1.7</v>
      </c>
      <c r="M1145" s="45">
        <f t="shared" si="57"/>
        <v>1.8471715457348808E-2</v>
      </c>
      <c r="N1145" s="104">
        <v>92.032600000000002</v>
      </c>
      <c r="O1145" s="234"/>
      <c r="P1145" s="15"/>
      <c r="Q1145" s="15"/>
      <c r="R1145" s="15"/>
      <c r="S1145" s="15"/>
      <c r="T1145" s="15"/>
      <c r="U1145" s="15"/>
      <c r="V1145" s="15"/>
      <c r="W1145" s="15"/>
      <c r="X1145" s="15"/>
      <c r="Y1145" s="15"/>
      <c r="Z1145" s="15"/>
    </row>
    <row r="1146" spans="2:26" ht="14" customHeight="1" x14ac:dyDescent="0.25">
      <c r="B1146" s="78">
        <v>7</v>
      </c>
      <c r="C1146" s="9" t="s">
        <v>74</v>
      </c>
      <c r="D1146" s="112">
        <v>0.28000000000000003</v>
      </c>
      <c r="E1146" s="45">
        <f t="shared" si="56"/>
        <v>1.7840417465768702E-2</v>
      </c>
      <c r="F1146" s="45"/>
      <c r="G1146" s="45"/>
      <c r="H1146" s="104">
        <v>15.694699999999999</v>
      </c>
      <c r="I1146" s="59"/>
      <c r="J1146" s="78">
        <v>7</v>
      </c>
      <c r="K1146" s="9" t="s">
        <v>73</v>
      </c>
      <c r="L1146" s="112">
        <v>1.7</v>
      </c>
      <c r="M1146" s="45">
        <f t="shared" si="57"/>
        <v>1.8471715457348808E-2</v>
      </c>
      <c r="N1146" s="104">
        <v>92.032600000000002</v>
      </c>
      <c r="O1146" s="234"/>
      <c r="P1146" s="15"/>
      <c r="Q1146" s="15"/>
      <c r="R1146" s="15"/>
      <c r="S1146" s="15"/>
      <c r="T1146" s="15"/>
      <c r="U1146" s="15"/>
      <c r="V1146" s="15"/>
      <c r="W1146" s="15"/>
      <c r="X1146" s="15"/>
      <c r="Y1146" s="15"/>
      <c r="Z1146" s="15"/>
    </row>
    <row r="1147" spans="2:26" ht="14" customHeight="1" x14ac:dyDescent="0.25">
      <c r="B1147" s="78">
        <v>8</v>
      </c>
      <c r="C1147" s="9" t="s">
        <v>73</v>
      </c>
      <c r="D1147" s="112">
        <v>0.26</v>
      </c>
      <c r="E1147" s="45">
        <f t="shared" si="56"/>
        <v>1.6566101932499508E-2</v>
      </c>
      <c r="F1147" s="45"/>
      <c r="G1147" s="45"/>
      <c r="H1147" s="104">
        <v>15.694699999999999</v>
      </c>
      <c r="I1147" s="59"/>
      <c r="J1147" s="78">
        <v>8</v>
      </c>
      <c r="K1147" s="9" t="s">
        <v>590</v>
      </c>
      <c r="L1147" s="112">
        <v>1.53</v>
      </c>
      <c r="M1147" s="45">
        <f t="shared" si="57"/>
        <v>1.6624543911613929E-2</v>
      </c>
      <c r="N1147" s="104">
        <v>92.032600000000002</v>
      </c>
      <c r="O1147" s="157"/>
      <c r="P1147" s="15"/>
      <c r="Q1147" s="15"/>
      <c r="R1147" s="15"/>
      <c r="S1147" s="15"/>
      <c r="T1147" s="15"/>
      <c r="U1147" s="15"/>
      <c r="V1147" s="15"/>
      <c r="W1147" s="15"/>
      <c r="X1147" s="15"/>
      <c r="Y1147" s="15"/>
      <c r="Z1147" s="15"/>
    </row>
    <row r="1148" spans="2:26" ht="14" customHeight="1" x14ac:dyDescent="0.25">
      <c r="B1148" s="78">
        <v>9</v>
      </c>
      <c r="C1148" s="9" t="s">
        <v>357</v>
      </c>
      <c r="D1148" s="112">
        <v>0.22</v>
      </c>
      <c r="E1148" s="45">
        <f t="shared" si="56"/>
        <v>1.4017470865961121E-2</v>
      </c>
      <c r="F1148" s="45"/>
      <c r="G1148" s="45"/>
      <c r="H1148" s="104">
        <v>15.694699999999999</v>
      </c>
      <c r="I1148" s="59"/>
      <c r="J1148" s="78">
        <v>9</v>
      </c>
      <c r="K1148" s="9" t="s">
        <v>357</v>
      </c>
      <c r="L1148" s="112">
        <v>1.49</v>
      </c>
      <c r="M1148" s="45">
        <f t="shared" si="57"/>
        <v>1.6189915312617487E-2</v>
      </c>
      <c r="N1148" s="104">
        <v>92.032600000000002</v>
      </c>
      <c r="O1148" s="157"/>
      <c r="P1148" s="15"/>
      <c r="Q1148" s="15"/>
      <c r="R1148" s="15"/>
      <c r="S1148" s="15"/>
      <c r="T1148" s="15"/>
      <c r="U1148" s="15"/>
      <c r="V1148" s="15"/>
      <c r="W1148" s="15"/>
      <c r="X1148" s="15"/>
      <c r="Y1148" s="15"/>
      <c r="Z1148" s="15"/>
    </row>
    <row r="1149" spans="2:26" ht="14" customHeight="1" x14ac:dyDescent="0.25">
      <c r="B1149" s="80">
        <v>10</v>
      </c>
      <c r="C1149" s="110" t="s">
        <v>509</v>
      </c>
      <c r="D1149" s="114">
        <v>0.16</v>
      </c>
      <c r="E1149" s="116">
        <f t="shared" si="56"/>
        <v>1.019757807520714E-2</v>
      </c>
      <c r="F1149" s="116"/>
      <c r="G1149" s="116"/>
      <c r="H1149" s="105">
        <v>15.69</v>
      </c>
      <c r="I1149" s="59"/>
      <c r="J1149" s="80">
        <v>10</v>
      </c>
      <c r="K1149" s="110" t="s">
        <v>509</v>
      </c>
      <c r="L1149" s="114">
        <v>1.05</v>
      </c>
      <c r="M1149" s="116">
        <f t="shared" si="57"/>
        <v>1.1409323046832554E-2</v>
      </c>
      <c r="N1149" s="105">
        <v>92.03</v>
      </c>
      <c r="O1149" s="157"/>
      <c r="P1149" s="15"/>
      <c r="Q1149" s="15"/>
      <c r="R1149" s="15"/>
      <c r="S1149" s="15"/>
      <c r="T1149" s="15"/>
      <c r="U1149" s="15"/>
      <c r="V1149" s="15"/>
      <c r="W1149" s="15"/>
      <c r="X1149" s="15"/>
      <c r="Y1149" s="15"/>
      <c r="Z1149" s="15"/>
    </row>
    <row r="1150" spans="2:26" ht="14" customHeight="1" x14ac:dyDescent="0.25">
      <c r="C1150" s="59"/>
      <c r="D1150" s="58"/>
      <c r="E1150" s="56"/>
      <c r="F1150" s="56"/>
      <c r="G1150" s="56"/>
      <c r="H1150" s="59"/>
      <c r="I1150" s="59"/>
      <c r="K1150" s="59"/>
      <c r="L1150" s="58"/>
      <c r="M1150" s="56"/>
      <c r="N1150" s="59"/>
      <c r="O1150" s="49"/>
      <c r="P1150" s="15"/>
      <c r="Q1150" s="15"/>
      <c r="R1150" s="15"/>
      <c r="S1150" s="15"/>
      <c r="T1150" s="15"/>
      <c r="U1150" s="15"/>
      <c r="V1150" s="15"/>
      <c r="W1150" s="15"/>
      <c r="X1150" s="15"/>
      <c r="Y1150" s="15"/>
      <c r="Z1150" s="15"/>
    </row>
    <row r="1151" spans="2:26" ht="14" customHeight="1" x14ac:dyDescent="0.25">
      <c r="C1151" s="59"/>
      <c r="D1151" s="58"/>
      <c r="E1151" s="56"/>
      <c r="F1151" s="56"/>
      <c r="G1151" s="56"/>
      <c r="H1151" s="59"/>
      <c r="I1151" s="59"/>
      <c r="K1151" s="59"/>
      <c r="L1151" s="58"/>
      <c r="M1151" s="56"/>
      <c r="N1151" s="59"/>
      <c r="O1151" s="234"/>
      <c r="P1151" s="15"/>
      <c r="Q1151" s="15"/>
      <c r="R1151" s="15"/>
      <c r="S1151" s="15"/>
      <c r="T1151" s="15"/>
      <c r="U1151" s="15"/>
      <c r="V1151" s="15"/>
      <c r="W1151" s="15"/>
      <c r="X1151" s="15"/>
      <c r="Y1151" s="15"/>
      <c r="Z1151" s="15"/>
    </row>
    <row r="1152" spans="2:26" ht="14" customHeight="1" x14ac:dyDescent="0.25">
      <c r="B1152" s="15" t="s">
        <v>598</v>
      </c>
      <c r="C1152" s="59"/>
      <c r="D1152" s="58"/>
      <c r="E1152" s="56"/>
      <c r="F1152" s="56"/>
      <c r="G1152" s="56"/>
      <c r="H1152" s="59"/>
      <c r="I1152" s="59"/>
      <c r="J1152" s="15" t="s">
        <v>599</v>
      </c>
      <c r="K1152" s="59"/>
      <c r="L1152" s="58"/>
      <c r="M1152" s="56"/>
      <c r="N1152" s="59"/>
      <c r="O1152" s="234"/>
      <c r="P1152" s="15"/>
      <c r="Q1152" s="15"/>
      <c r="R1152" s="15"/>
      <c r="S1152" s="15"/>
      <c r="T1152" s="15"/>
      <c r="U1152" s="15"/>
      <c r="V1152" s="15"/>
      <c r="W1152" s="15"/>
      <c r="X1152" s="15"/>
      <c r="Y1152" s="15"/>
      <c r="Z1152" s="15"/>
    </row>
    <row r="1153" spans="2:26" ht="14" customHeight="1" x14ac:dyDescent="0.25">
      <c r="B1153" s="83" t="s">
        <v>582</v>
      </c>
      <c r="C1153" s="85" t="s">
        <v>335</v>
      </c>
      <c r="D1153" s="87" t="s">
        <v>583</v>
      </c>
      <c r="E1153" s="107" t="s">
        <v>337</v>
      </c>
      <c r="F1153" s="107"/>
      <c r="G1153" s="107"/>
      <c r="H1153" s="108" t="s">
        <v>584</v>
      </c>
      <c r="I1153" s="59"/>
      <c r="J1153" s="83" t="s">
        <v>582</v>
      </c>
      <c r="K1153" s="85" t="s">
        <v>335</v>
      </c>
      <c r="L1153" s="87" t="s">
        <v>600</v>
      </c>
      <c r="M1153" s="107" t="s">
        <v>337</v>
      </c>
      <c r="N1153" s="108" t="s">
        <v>587</v>
      </c>
      <c r="O1153" s="234"/>
      <c r="P1153" s="15"/>
      <c r="Q1153" s="15"/>
      <c r="R1153" s="15"/>
      <c r="S1153" s="15"/>
      <c r="T1153" s="15"/>
      <c r="U1153" s="15"/>
      <c r="V1153" s="15"/>
      <c r="W1153" s="15"/>
      <c r="X1153" s="15"/>
      <c r="Y1153" s="15"/>
      <c r="Z1153" s="15"/>
    </row>
    <row r="1154" spans="2:26" ht="14" customHeight="1" x14ac:dyDescent="0.25">
      <c r="B1154" s="78">
        <v>1</v>
      </c>
      <c r="C1154" s="9" t="s">
        <v>68</v>
      </c>
      <c r="D1154" s="112">
        <v>6.5</v>
      </c>
      <c r="E1154" s="45">
        <f t="shared" ref="E1154:E1163" si="58">D1154/H1154</f>
        <v>0.51751592356687892</v>
      </c>
      <c r="F1154" s="45"/>
      <c r="G1154" s="45"/>
      <c r="H1154" s="104">
        <v>12.56</v>
      </c>
      <c r="I1154" s="59"/>
      <c r="J1154" s="78">
        <v>1</v>
      </c>
      <c r="K1154" s="9" t="s">
        <v>68</v>
      </c>
      <c r="L1154" s="112">
        <v>37.9</v>
      </c>
      <c r="M1154" s="45">
        <f t="shared" ref="M1154:M1163" si="59">L1154/N1154</f>
        <v>0.49647619796169667</v>
      </c>
      <c r="N1154" s="104">
        <v>76.337999999999994</v>
      </c>
      <c r="O1154" s="234"/>
      <c r="P1154" s="15"/>
      <c r="Q1154" s="15"/>
      <c r="R1154" s="15"/>
      <c r="S1154" s="15"/>
      <c r="T1154" s="15"/>
      <c r="U1154" s="15"/>
      <c r="V1154" s="15"/>
      <c r="W1154" s="15"/>
      <c r="X1154" s="15"/>
      <c r="Y1154" s="15"/>
      <c r="Z1154" s="15"/>
    </row>
    <row r="1155" spans="2:26" ht="14" customHeight="1" x14ac:dyDescent="0.25">
      <c r="B1155" s="78">
        <v>2</v>
      </c>
      <c r="C1155" s="9" t="s">
        <v>69</v>
      </c>
      <c r="D1155" s="112">
        <v>2.4</v>
      </c>
      <c r="E1155" s="45">
        <f t="shared" si="58"/>
        <v>0.19108280254777069</v>
      </c>
      <c r="F1155" s="45"/>
      <c r="G1155" s="45"/>
      <c r="H1155" s="104">
        <v>12.56</v>
      </c>
      <c r="I1155" s="59"/>
      <c r="J1155" s="78">
        <v>2</v>
      </c>
      <c r="K1155" s="9" t="s">
        <v>69</v>
      </c>
      <c r="L1155" s="112">
        <v>11.9</v>
      </c>
      <c r="M1155" s="45">
        <f t="shared" si="59"/>
        <v>0.1558856663784747</v>
      </c>
      <c r="N1155" s="104">
        <v>76.337999999999994</v>
      </c>
      <c r="O1155" s="234"/>
      <c r="P1155" s="15"/>
      <c r="Q1155" s="15"/>
      <c r="R1155" s="15"/>
      <c r="S1155" s="15"/>
      <c r="T1155" s="15"/>
      <c r="U1155" s="15"/>
      <c r="V1155" s="15"/>
      <c r="W1155" s="15"/>
      <c r="X1155" s="15"/>
      <c r="Y1155" s="15"/>
      <c r="Z1155" s="15"/>
    </row>
    <row r="1156" spans="2:26" ht="14" customHeight="1" x14ac:dyDescent="0.25">
      <c r="B1156" s="78">
        <v>3</v>
      </c>
      <c r="C1156" s="9" t="s">
        <v>70</v>
      </c>
      <c r="D1156" s="112">
        <v>0.69</v>
      </c>
      <c r="E1156" s="45">
        <f t="shared" si="58"/>
        <v>5.4936305732484071E-2</v>
      </c>
      <c r="F1156" s="45"/>
      <c r="G1156" s="45"/>
      <c r="H1156" s="104">
        <v>12.56</v>
      </c>
      <c r="I1156" s="59"/>
      <c r="J1156" s="78">
        <v>3</v>
      </c>
      <c r="K1156" s="9" t="s">
        <v>595</v>
      </c>
      <c r="L1156" s="112">
        <v>5</v>
      </c>
      <c r="M1156" s="45">
        <f t="shared" si="59"/>
        <v>6.5498179150619618E-2</v>
      </c>
      <c r="N1156" s="104">
        <v>76.337999999999994</v>
      </c>
      <c r="O1156" s="234"/>
      <c r="P1156" s="15"/>
      <c r="Q1156" s="15"/>
      <c r="R1156" s="15"/>
      <c r="S1156" s="15"/>
      <c r="T1156" s="15"/>
      <c r="U1156" s="15"/>
      <c r="V1156" s="15"/>
      <c r="W1156" s="15"/>
      <c r="X1156" s="15"/>
      <c r="Y1156" s="15"/>
      <c r="Z1156" s="15"/>
    </row>
    <row r="1157" spans="2:26" ht="14" customHeight="1" x14ac:dyDescent="0.25">
      <c r="B1157" s="78">
        <v>4</v>
      </c>
      <c r="C1157" s="9" t="s">
        <v>595</v>
      </c>
      <c r="D1157" s="112">
        <v>0.62</v>
      </c>
      <c r="E1157" s="45">
        <f t="shared" si="58"/>
        <v>4.936305732484076E-2</v>
      </c>
      <c r="F1157" s="45"/>
      <c r="G1157" s="45"/>
      <c r="H1157" s="104">
        <v>12.56</v>
      </c>
      <c r="I1157" s="59"/>
      <c r="J1157" s="78">
        <v>4</v>
      </c>
      <c r="K1157" s="9" t="s">
        <v>601</v>
      </c>
      <c r="L1157" s="112">
        <v>4.9000000000000004</v>
      </c>
      <c r="M1157" s="45">
        <f t="shared" si="59"/>
        <v>6.4188215567607232E-2</v>
      </c>
      <c r="N1157" s="104">
        <v>76.337999999999994</v>
      </c>
      <c r="O1157" s="234"/>
      <c r="P1157" s="15"/>
      <c r="Q1157" s="15"/>
      <c r="R1157" s="15"/>
      <c r="S1157" s="15"/>
      <c r="T1157" s="15"/>
      <c r="U1157" s="15"/>
      <c r="V1157" s="15"/>
      <c r="W1157" s="15"/>
      <c r="X1157" s="15"/>
      <c r="Y1157" s="15"/>
      <c r="Z1157" s="15"/>
    </row>
    <row r="1158" spans="2:26" ht="14" customHeight="1" x14ac:dyDescent="0.25">
      <c r="B1158" s="78">
        <v>5</v>
      </c>
      <c r="C1158" s="9" t="s">
        <v>74</v>
      </c>
      <c r="D1158" s="112">
        <v>0.34</v>
      </c>
      <c r="E1158" s="45">
        <f t="shared" si="58"/>
        <v>2.7070063694267517E-2</v>
      </c>
      <c r="F1158" s="45"/>
      <c r="G1158" s="45"/>
      <c r="H1158" s="104">
        <v>12.56</v>
      </c>
      <c r="I1158" s="59"/>
      <c r="J1158" s="78">
        <v>5</v>
      </c>
      <c r="K1158" s="9" t="s">
        <v>70</v>
      </c>
      <c r="L1158" s="112">
        <v>4.0999999999999996</v>
      </c>
      <c r="M1158" s="45">
        <f t="shared" si="59"/>
        <v>5.3708506903508084E-2</v>
      </c>
      <c r="N1158" s="104">
        <v>76.337999999999994</v>
      </c>
      <c r="O1158" s="234"/>
      <c r="P1158" s="15"/>
      <c r="Q1158" s="15"/>
      <c r="R1158" s="15"/>
      <c r="S1158" s="15"/>
      <c r="T1158" s="15"/>
      <c r="U1158" s="15"/>
      <c r="V1158" s="15"/>
      <c r="W1158" s="15"/>
      <c r="X1158" s="15"/>
      <c r="Y1158" s="15"/>
      <c r="Z1158" s="15"/>
    </row>
    <row r="1159" spans="2:26" ht="14" customHeight="1" x14ac:dyDescent="0.25">
      <c r="B1159" s="78">
        <v>6</v>
      </c>
      <c r="C1159" s="9" t="s">
        <v>357</v>
      </c>
      <c r="D1159" s="112">
        <v>0.28000000000000003</v>
      </c>
      <c r="E1159" s="45">
        <f t="shared" si="58"/>
        <v>2.229299363057325E-2</v>
      </c>
      <c r="F1159" s="45"/>
      <c r="G1159" s="45"/>
      <c r="H1159" s="104">
        <v>12.56</v>
      </c>
      <c r="I1159" s="59"/>
      <c r="J1159" s="78">
        <v>6</v>
      </c>
      <c r="K1159" s="9" t="s">
        <v>73</v>
      </c>
      <c r="L1159" s="112">
        <v>1.4</v>
      </c>
      <c r="M1159" s="45">
        <f t="shared" si="59"/>
        <v>1.8339490162173493E-2</v>
      </c>
      <c r="N1159" s="104">
        <v>76.337999999999994</v>
      </c>
      <c r="O1159" s="234"/>
      <c r="P1159" s="15"/>
      <c r="Q1159" s="15"/>
      <c r="R1159" s="15"/>
      <c r="S1159" s="15"/>
      <c r="T1159" s="15"/>
      <c r="U1159" s="15"/>
      <c r="V1159" s="15"/>
      <c r="W1159" s="15"/>
      <c r="X1159" s="15"/>
      <c r="Y1159" s="15"/>
      <c r="Z1159" s="15"/>
    </row>
    <row r="1160" spans="2:26" ht="14" customHeight="1" x14ac:dyDescent="0.25">
      <c r="B1160" s="78">
        <v>7</v>
      </c>
      <c r="C1160" s="9" t="s">
        <v>590</v>
      </c>
      <c r="D1160" s="112">
        <v>0.22</v>
      </c>
      <c r="E1160" s="45">
        <f t="shared" si="58"/>
        <v>1.751592356687898E-2</v>
      </c>
      <c r="F1160" s="45"/>
      <c r="G1160" s="45"/>
      <c r="H1160" s="104">
        <v>12.56</v>
      </c>
      <c r="I1160" s="59"/>
      <c r="J1160" s="78">
        <v>7</v>
      </c>
      <c r="K1160" s="9" t="s">
        <v>74</v>
      </c>
      <c r="L1160" s="112">
        <v>1.4</v>
      </c>
      <c r="M1160" s="45">
        <f t="shared" si="59"/>
        <v>1.8339490162173493E-2</v>
      </c>
      <c r="N1160" s="104">
        <v>76.337999999999994</v>
      </c>
      <c r="O1160" s="234"/>
      <c r="P1160" s="15"/>
      <c r="Q1160" s="15"/>
      <c r="R1160" s="15"/>
      <c r="S1160" s="15"/>
      <c r="T1160" s="15"/>
      <c r="U1160" s="15"/>
      <c r="V1160" s="15"/>
      <c r="W1160" s="15"/>
      <c r="X1160" s="15"/>
      <c r="Y1160" s="15"/>
      <c r="Z1160" s="15"/>
    </row>
    <row r="1161" spans="2:26" ht="14" customHeight="1" x14ac:dyDescent="0.25">
      <c r="B1161" s="78">
        <v>8</v>
      </c>
      <c r="C1161" s="9" t="s">
        <v>129</v>
      </c>
      <c r="D1161" s="112">
        <v>0.2</v>
      </c>
      <c r="E1161" s="45">
        <f t="shared" si="58"/>
        <v>1.5923566878980892E-2</v>
      </c>
      <c r="F1161" s="45"/>
      <c r="G1161" s="45"/>
      <c r="H1161" s="104">
        <v>12.56</v>
      </c>
      <c r="I1161" s="59"/>
      <c r="J1161" s="78">
        <v>8</v>
      </c>
      <c r="K1161" s="9" t="s">
        <v>357</v>
      </c>
      <c r="L1161" s="112">
        <v>1.3</v>
      </c>
      <c r="M1161" s="45">
        <f t="shared" si="59"/>
        <v>1.7029526579161101E-2</v>
      </c>
      <c r="N1161" s="104">
        <v>76.337999999999994</v>
      </c>
      <c r="O1161" s="234"/>
      <c r="P1161" s="15"/>
      <c r="Q1161" s="15"/>
      <c r="R1161" s="15"/>
      <c r="S1161" s="15"/>
      <c r="T1161" s="15"/>
      <c r="U1161" s="15"/>
      <c r="V1161" s="15"/>
      <c r="W1161" s="15"/>
      <c r="X1161" s="15"/>
      <c r="Y1161" s="15"/>
      <c r="Z1161" s="15"/>
    </row>
    <row r="1162" spans="2:26" ht="14" customHeight="1" x14ac:dyDescent="0.25">
      <c r="B1162" s="78">
        <v>9</v>
      </c>
      <c r="C1162" s="9" t="s">
        <v>509</v>
      </c>
      <c r="D1162" s="112">
        <v>0.2</v>
      </c>
      <c r="E1162" s="45">
        <f t="shared" si="58"/>
        <v>1.5923566878980892E-2</v>
      </c>
      <c r="F1162" s="45"/>
      <c r="G1162" s="45"/>
      <c r="H1162" s="104">
        <v>12.56</v>
      </c>
      <c r="I1162" s="59"/>
      <c r="J1162" s="78">
        <v>9</v>
      </c>
      <c r="K1162" s="9" t="s">
        <v>590</v>
      </c>
      <c r="L1162" s="112">
        <v>1.1000000000000001</v>
      </c>
      <c r="M1162" s="45">
        <f t="shared" si="59"/>
        <v>1.4409599413136317E-2</v>
      </c>
      <c r="N1162" s="104">
        <v>76.337999999999994</v>
      </c>
      <c r="O1162" s="234"/>
      <c r="P1162" s="15"/>
      <c r="Q1162" s="15"/>
      <c r="R1162" s="15"/>
      <c r="S1162" s="15"/>
      <c r="T1162" s="15"/>
      <c r="U1162" s="15"/>
      <c r="V1162" s="15"/>
      <c r="W1162" s="15"/>
      <c r="X1162" s="15"/>
      <c r="Y1162" s="15"/>
      <c r="Z1162" s="15"/>
    </row>
    <row r="1163" spans="2:26" ht="14" customHeight="1" x14ac:dyDescent="0.25">
      <c r="B1163" s="80">
        <v>10</v>
      </c>
      <c r="C1163" s="110" t="s">
        <v>73</v>
      </c>
      <c r="D1163" s="114">
        <v>0.2</v>
      </c>
      <c r="E1163" s="116">
        <f t="shared" si="58"/>
        <v>1.5923566878980892E-2</v>
      </c>
      <c r="F1163" s="116"/>
      <c r="G1163" s="116"/>
      <c r="H1163" s="105">
        <v>12.56</v>
      </c>
      <c r="I1163" s="59"/>
      <c r="J1163" s="80">
        <v>10</v>
      </c>
      <c r="K1163" s="110" t="s">
        <v>509</v>
      </c>
      <c r="L1163" s="114">
        <v>0.9</v>
      </c>
      <c r="M1163" s="116">
        <f t="shared" si="59"/>
        <v>1.1789363374377783E-2</v>
      </c>
      <c r="N1163" s="105">
        <v>76.34</v>
      </c>
      <c r="O1163" s="234"/>
      <c r="P1163" s="15"/>
      <c r="Q1163" s="15"/>
      <c r="R1163" s="15"/>
      <c r="S1163" s="15"/>
      <c r="T1163" s="15"/>
      <c r="U1163" s="15"/>
      <c r="V1163" s="15"/>
      <c r="W1163" s="15"/>
      <c r="X1163" s="15"/>
      <c r="Y1163" s="15"/>
      <c r="Z1163" s="15"/>
    </row>
    <row r="1164" spans="2:26" ht="14" customHeight="1" x14ac:dyDescent="0.25">
      <c r="C1164" s="59"/>
      <c r="D1164" s="58"/>
      <c r="E1164" s="56"/>
      <c r="F1164" s="56"/>
      <c r="G1164" s="56"/>
      <c r="H1164" s="59"/>
      <c r="I1164" s="59"/>
      <c r="K1164" s="59"/>
      <c r="L1164" s="58"/>
      <c r="M1164" s="56"/>
      <c r="N1164" s="59"/>
      <c r="O1164" s="234"/>
      <c r="P1164" s="15"/>
      <c r="Q1164" s="15"/>
      <c r="R1164" s="15"/>
      <c r="S1164" s="15"/>
      <c r="T1164" s="15"/>
      <c r="U1164" s="15"/>
      <c r="V1164" s="15"/>
      <c r="W1164" s="15"/>
      <c r="X1164" s="15"/>
      <c r="Y1164" s="15"/>
      <c r="Z1164" s="15"/>
    </row>
    <row r="1165" spans="2:26" ht="14" customHeight="1" x14ac:dyDescent="0.25">
      <c r="C1165" s="59"/>
      <c r="D1165" s="58"/>
      <c r="E1165" s="56"/>
      <c r="F1165" s="56"/>
      <c r="G1165" s="56"/>
      <c r="H1165" s="59"/>
      <c r="I1165" s="59"/>
      <c r="K1165" s="59"/>
      <c r="L1165" s="58"/>
      <c r="M1165" s="56"/>
      <c r="N1165" s="59"/>
      <c r="O1165" s="234"/>
      <c r="P1165" s="15"/>
      <c r="Q1165" s="15"/>
      <c r="R1165" s="15"/>
      <c r="S1165" s="15"/>
      <c r="T1165" s="15"/>
      <c r="U1165" s="15"/>
      <c r="V1165" s="15"/>
      <c r="W1165" s="15"/>
      <c r="X1165" s="15"/>
      <c r="Y1165" s="15"/>
      <c r="Z1165" s="15"/>
    </row>
    <row r="1166" spans="2:26" ht="14" customHeight="1" x14ac:dyDescent="0.25">
      <c r="B1166" s="15" t="s">
        <v>602</v>
      </c>
      <c r="C1166" s="59"/>
      <c r="D1166" s="58"/>
      <c r="E1166" s="56"/>
      <c r="F1166" s="56"/>
      <c r="G1166" s="56"/>
      <c r="H1166" s="59"/>
      <c r="I1166" s="59"/>
      <c r="J1166" s="15" t="s">
        <v>603</v>
      </c>
      <c r="K1166" s="59"/>
      <c r="L1166" s="58"/>
      <c r="M1166" s="56"/>
      <c r="N1166" s="59"/>
      <c r="P1166" s="15"/>
      <c r="Q1166" s="15"/>
      <c r="R1166" s="15"/>
      <c r="S1166" s="15"/>
      <c r="T1166" s="15"/>
      <c r="U1166" s="15"/>
      <c r="V1166" s="15"/>
      <c r="W1166" s="15"/>
      <c r="X1166" s="15"/>
      <c r="Y1166" s="15"/>
      <c r="Z1166" s="15"/>
    </row>
    <row r="1167" spans="2:26" ht="14" customHeight="1" x14ac:dyDescent="0.25">
      <c r="B1167" s="83" t="s">
        <v>582</v>
      </c>
      <c r="C1167" s="85" t="s">
        <v>335</v>
      </c>
      <c r="D1167" s="87" t="s">
        <v>583</v>
      </c>
      <c r="E1167" s="107" t="s">
        <v>337</v>
      </c>
      <c r="F1167" s="107"/>
      <c r="G1167" s="107"/>
      <c r="H1167" s="108" t="s">
        <v>584</v>
      </c>
      <c r="I1167" s="59"/>
      <c r="J1167" s="83" t="s">
        <v>582</v>
      </c>
      <c r="K1167" s="85" t="s">
        <v>335</v>
      </c>
      <c r="L1167" s="87" t="s">
        <v>600</v>
      </c>
      <c r="M1167" s="107" t="s">
        <v>337</v>
      </c>
      <c r="N1167" s="108" t="s">
        <v>587</v>
      </c>
      <c r="P1167" s="15"/>
      <c r="Q1167" s="15"/>
      <c r="R1167" s="15"/>
      <c r="S1167" s="15"/>
      <c r="T1167" s="15"/>
      <c r="U1167" s="15"/>
      <c r="V1167" s="15"/>
      <c r="W1167" s="15"/>
      <c r="X1167" s="15"/>
      <c r="Y1167" s="15"/>
      <c r="Z1167" s="15"/>
    </row>
    <row r="1168" spans="2:26" ht="14" customHeight="1" x14ac:dyDescent="0.25">
      <c r="B1168" s="78">
        <v>1</v>
      </c>
      <c r="C1168" s="9" t="s">
        <v>68</v>
      </c>
      <c r="D1168" s="112">
        <v>5.66</v>
      </c>
      <c r="E1168" s="45">
        <f t="shared" ref="E1168:E1182" si="60">D1168/H1168</f>
        <v>0.50122649947309239</v>
      </c>
      <c r="F1168" s="45"/>
      <c r="G1168" s="45"/>
      <c r="H1168" s="104">
        <v>11.292299999999999</v>
      </c>
      <c r="I1168" s="59"/>
      <c r="J1168" s="78">
        <v>1</v>
      </c>
      <c r="K1168" s="9" t="s">
        <v>68</v>
      </c>
      <c r="L1168" s="112">
        <v>31.42</v>
      </c>
      <c r="M1168" s="45">
        <f t="shared" ref="M1168:M1182" si="61">L1168/N1168</f>
        <v>0.49263864281346526</v>
      </c>
      <c r="N1168" s="104">
        <v>63.779000000000003</v>
      </c>
      <c r="P1168" s="15"/>
      <c r="Q1168" s="15"/>
      <c r="R1168" s="15"/>
      <c r="S1168" s="15"/>
      <c r="T1168" s="15"/>
      <c r="U1168" s="15"/>
      <c r="V1168" s="15"/>
      <c r="W1168" s="15"/>
      <c r="X1168" s="15"/>
      <c r="Y1168" s="15"/>
      <c r="Z1168" s="15"/>
    </row>
    <row r="1169" spans="2:26" ht="14" customHeight="1" x14ac:dyDescent="0.25">
      <c r="B1169" s="78">
        <v>2</v>
      </c>
      <c r="C1169" s="9" t="s">
        <v>69</v>
      </c>
      <c r="D1169" s="112">
        <v>1.9</v>
      </c>
      <c r="E1169" s="45">
        <f t="shared" si="60"/>
        <v>0.16825624540616171</v>
      </c>
      <c r="F1169" s="45"/>
      <c r="G1169" s="45"/>
      <c r="H1169" s="104">
        <v>11.292299999999999</v>
      </c>
      <c r="I1169" s="59"/>
      <c r="J1169" s="78">
        <v>2</v>
      </c>
      <c r="K1169" s="9" t="s">
        <v>69</v>
      </c>
      <c r="L1169" s="112">
        <v>9.5500000000000007</v>
      </c>
      <c r="M1169" s="45">
        <f t="shared" si="61"/>
        <v>0.1497358064566707</v>
      </c>
      <c r="N1169" s="104">
        <v>63.779000000000003</v>
      </c>
      <c r="O1169" s="49"/>
      <c r="P1169" s="15"/>
      <c r="Q1169" s="15"/>
      <c r="R1169" s="15"/>
      <c r="S1169" s="15"/>
      <c r="T1169" s="15"/>
      <c r="U1169" s="15"/>
      <c r="V1169" s="15"/>
      <c r="W1169" s="15"/>
      <c r="X1169" s="15"/>
      <c r="Y1169" s="15"/>
      <c r="Z1169" s="15"/>
    </row>
    <row r="1170" spans="2:26" ht="14" customHeight="1" x14ac:dyDescent="0.25">
      <c r="B1170" s="78">
        <v>3</v>
      </c>
      <c r="C1170" s="9" t="s">
        <v>604</v>
      </c>
      <c r="D1170" s="112">
        <v>0.77</v>
      </c>
      <c r="E1170" s="45">
        <f t="shared" si="60"/>
        <v>6.8188057348812919E-2</v>
      </c>
      <c r="F1170" s="45"/>
      <c r="G1170" s="45"/>
      <c r="H1170" s="104">
        <v>11.292299999999999</v>
      </c>
      <c r="I1170" s="59"/>
      <c r="J1170" s="78">
        <v>3</v>
      </c>
      <c r="K1170" s="9" t="s">
        <v>601</v>
      </c>
      <c r="L1170" s="112">
        <v>4.92</v>
      </c>
      <c r="M1170" s="45">
        <f t="shared" si="61"/>
        <v>7.7141378823750759E-2</v>
      </c>
      <c r="N1170" s="104">
        <v>63.779000000000003</v>
      </c>
      <c r="O1170" s="234"/>
      <c r="P1170" s="15"/>
      <c r="Q1170" s="15"/>
      <c r="R1170" s="15"/>
      <c r="S1170" s="15"/>
      <c r="T1170" s="15"/>
      <c r="U1170" s="15"/>
      <c r="V1170" s="15"/>
      <c r="W1170" s="15"/>
      <c r="X1170" s="15"/>
      <c r="Y1170" s="15"/>
      <c r="Z1170" s="15"/>
    </row>
    <row r="1171" spans="2:26" ht="14" customHeight="1" x14ac:dyDescent="0.25">
      <c r="B1171" s="78">
        <v>4</v>
      </c>
      <c r="C1171" s="9" t="s">
        <v>605</v>
      </c>
      <c r="D1171" s="112">
        <v>0.62</v>
      </c>
      <c r="E1171" s="45">
        <f t="shared" si="60"/>
        <v>5.4904669553589615E-2</v>
      </c>
      <c r="F1171" s="45"/>
      <c r="G1171" s="45"/>
      <c r="H1171" s="104">
        <v>11.292299999999999</v>
      </c>
      <c r="I1171" s="59"/>
      <c r="J1171" s="78">
        <v>4</v>
      </c>
      <c r="K1171" s="9" t="s">
        <v>595</v>
      </c>
      <c r="L1171" s="112">
        <v>4.4000000000000004</v>
      </c>
      <c r="M1171" s="45">
        <f t="shared" si="61"/>
        <v>6.898822496432995E-2</v>
      </c>
      <c r="N1171" s="104">
        <v>63.779000000000003</v>
      </c>
      <c r="O1171" s="234"/>
      <c r="P1171" s="15"/>
      <c r="Q1171" s="15"/>
      <c r="R1171" s="15"/>
      <c r="S1171" s="15"/>
      <c r="T1171" s="15"/>
      <c r="U1171" s="15"/>
      <c r="V1171" s="15"/>
      <c r="W1171" s="15"/>
      <c r="X1171" s="15"/>
      <c r="Y1171" s="15"/>
      <c r="Z1171" s="15"/>
    </row>
    <row r="1172" spans="2:26" ht="14" customHeight="1" x14ac:dyDescent="0.25">
      <c r="B1172" s="78">
        <v>5</v>
      </c>
      <c r="C1172" s="9" t="s">
        <v>73</v>
      </c>
      <c r="D1172" s="112">
        <v>0.28000000000000003</v>
      </c>
      <c r="E1172" s="45">
        <f t="shared" si="60"/>
        <v>2.4795657217750153E-2</v>
      </c>
      <c r="F1172" s="45"/>
      <c r="G1172" s="45"/>
      <c r="H1172" s="104">
        <v>11.292299999999999</v>
      </c>
      <c r="I1172" s="59"/>
      <c r="J1172" s="78">
        <v>5</v>
      </c>
      <c r="K1172" s="9" t="s">
        <v>70</v>
      </c>
      <c r="L1172" s="112">
        <v>3.38</v>
      </c>
      <c r="M1172" s="45">
        <f t="shared" si="61"/>
        <v>5.2995500086235277E-2</v>
      </c>
      <c r="N1172" s="104">
        <v>63.779000000000003</v>
      </c>
      <c r="O1172" s="234"/>
      <c r="P1172" s="15"/>
      <c r="Q1172" s="15"/>
      <c r="R1172" s="15"/>
      <c r="S1172" s="15"/>
      <c r="T1172" s="15"/>
      <c r="U1172" s="15"/>
      <c r="V1172" s="15"/>
      <c r="W1172" s="15"/>
      <c r="X1172" s="15"/>
      <c r="Y1172" s="15"/>
      <c r="Z1172" s="15"/>
    </row>
    <row r="1173" spans="2:26" ht="14" customHeight="1" x14ac:dyDescent="0.25">
      <c r="B1173" s="78">
        <v>6</v>
      </c>
      <c r="C1173" s="9" t="s">
        <v>74</v>
      </c>
      <c r="D1173" s="112">
        <v>0.24</v>
      </c>
      <c r="E1173" s="45">
        <f t="shared" si="60"/>
        <v>2.125342047235727E-2</v>
      </c>
      <c r="F1173" s="45"/>
      <c r="G1173" s="45"/>
      <c r="H1173" s="104">
        <v>11.292299999999999</v>
      </c>
      <c r="I1173" s="59"/>
      <c r="J1173" s="78">
        <v>6</v>
      </c>
      <c r="K1173" s="9" t="s">
        <v>73</v>
      </c>
      <c r="L1173" s="112">
        <v>1.24</v>
      </c>
      <c r="M1173" s="45">
        <f t="shared" si="61"/>
        <v>1.9442136126311169E-2</v>
      </c>
      <c r="N1173" s="104">
        <v>63.779000000000003</v>
      </c>
      <c r="O1173" s="234"/>
      <c r="P1173" s="15"/>
      <c r="Q1173" s="15"/>
      <c r="R1173" s="15"/>
      <c r="S1173" s="15"/>
      <c r="T1173" s="15"/>
      <c r="U1173" s="15"/>
      <c r="V1173" s="15"/>
      <c r="W1173" s="15"/>
      <c r="X1173" s="15"/>
      <c r="Y1173" s="15"/>
      <c r="Z1173" s="15"/>
    </row>
    <row r="1174" spans="2:26" ht="14" customHeight="1" x14ac:dyDescent="0.25">
      <c r="B1174" s="78">
        <v>7</v>
      </c>
      <c r="C1174" s="9" t="s">
        <v>129</v>
      </c>
      <c r="D1174" s="112">
        <v>0.22</v>
      </c>
      <c r="E1174" s="45">
        <f t="shared" si="60"/>
        <v>1.9482302099660832E-2</v>
      </c>
      <c r="F1174" s="45"/>
      <c r="G1174" s="45"/>
      <c r="H1174" s="104">
        <v>11.292299999999999</v>
      </c>
      <c r="I1174" s="59"/>
      <c r="J1174" s="78">
        <v>7</v>
      </c>
      <c r="K1174" s="9" t="s">
        <v>74</v>
      </c>
      <c r="L1174" s="112">
        <v>1.07</v>
      </c>
      <c r="M1174" s="45">
        <f t="shared" si="61"/>
        <v>1.6776681979962058E-2</v>
      </c>
      <c r="N1174" s="104">
        <v>63.779000000000003</v>
      </c>
      <c r="O1174" s="234"/>
      <c r="P1174" s="15"/>
      <c r="Q1174" s="15"/>
      <c r="R1174" s="15"/>
      <c r="S1174" s="15"/>
      <c r="T1174" s="15"/>
      <c r="U1174" s="15"/>
      <c r="V1174" s="15"/>
      <c r="W1174" s="15"/>
      <c r="X1174" s="15"/>
      <c r="Y1174" s="15"/>
      <c r="Z1174" s="15"/>
    </row>
    <row r="1175" spans="2:26" ht="14" customHeight="1" x14ac:dyDescent="0.25">
      <c r="B1175" s="78">
        <v>8</v>
      </c>
      <c r="C1175" s="9" t="s">
        <v>357</v>
      </c>
      <c r="D1175" s="112">
        <v>0.21</v>
      </c>
      <c r="E1175" s="45">
        <f t="shared" si="60"/>
        <v>1.8596742913312612E-2</v>
      </c>
      <c r="F1175" s="45"/>
      <c r="G1175" s="45"/>
      <c r="H1175" s="104">
        <v>11.292299999999999</v>
      </c>
      <c r="I1175" s="59"/>
      <c r="J1175" s="78">
        <v>8</v>
      </c>
      <c r="K1175" s="9" t="s">
        <v>357</v>
      </c>
      <c r="L1175" s="112">
        <v>0.99</v>
      </c>
      <c r="M1175" s="45">
        <f t="shared" si="61"/>
        <v>1.5522350616974238E-2</v>
      </c>
      <c r="N1175" s="104">
        <v>63.779000000000003</v>
      </c>
      <c r="O1175" s="234"/>
      <c r="P1175" s="15"/>
      <c r="Q1175" s="15"/>
      <c r="R1175" s="15"/>
      <c r="S1175" s="15"/>
      <c r="T1175" s="15"/>
      <c r="U1175" s="15"/>
      <c r="V1175" s="15"/>
      <c r="W1175" s="15"/>
      <c r="X1175" s="15"/>
      <c r="Y1175" s="15"/>
      <c r="Z1175" s="15"/>
    </row>
    <row r="1176" spans="2:26" ht="14" customHeight="1" x14ac:dyDescent="0.25">
      <c r="B1176" s="78">
        <v>9</v>
      </c>
      <c r="C1176" s="9" t="s">
        <v>590</v>
      </c>
      <c r="D1176" s="112">
        <v>0.2</v>
      </c>
      <c r="E1176" s="45">
        <f t="shared" si="60"/>
        <v>1.7711183726964393E-2</v>
      </c>
      <c r="F1176" s="45"/>
      <c r="G1176" s="45"/>
      <c r="H1176" s="104">
        <v>11.292299999999999</v>
      </c>
      <c r="I1176" s="59"/>
      <c r="J1176" s="78">
        <v>9</v>
      </c>
      <c r="K1176" s="9" t="s">
        <v>590</v>
      </c>
      <c r="L1176" s="112">
        <v>0.84</v>
      </c>
      <c r="M1176" s="45">
        <f t="shared" si="61"/>
        <v>1.317047931137208E-2</v>
      </c>
      <c r="N1176" s="104">
        <v>63.779000000000003</v>
      </c>
      <c r="O1176" s="234"/>
      <c r="P1176" s="15"/>
      <c r="Q1176" s="15"/>
      <c r="R1176" s="15"/>
      <c r="S1176" s="15"/>
      <c r="T1176" s="15"/>
      <c r="U1176" s="15"/>
      <c r="V1176" s="15"/>
      <c r="W1176" s="15"/>
      <c r="X1176" s="15"/>
      <c r="Y1176" s="15"/>
      <c r="Z1176" s="15"/>
    </row>
    <row r="1177" spans="2:26" ht="14" customHeight="1" x14ac:dyDescent="0.25">
      <c r="B1177" s="78">
        <v>10</v>
      </c>
      <c r="C1177" s="9" t="s">
        <v>601</v>
      </c>
      <c r="D1177" s="112">
        <v>0.2</v>
      </c>
      <c r="E1177" s="45">
        <f t="shared" si="60"/>
        <v>1.7711183726964393E-2</v>
      </c>
      <c r="F1177" s="45"/>
      <c r="G1177" s="45"/>
      <c r="H1177" s="104">
        <v>11.292299999999999</v>
      </c>
      <c r="I1177" s="59"/>
      <c r="J1177" s="78">
        <v>10</v>
      </c>
      <c r="K1177" s="9" t="s">
        <v>509</v>
      </c>
      <c r="L1177" s="112">
        <v>0.68</v>
      </c>
      <c r="M1177" s="45">
        <f t="shared" si="61"/>
        <v>1.0661816585396448E-2</v>
      </c>
      <c r="N1177" s="104">
        <v>63.779000000000003</v>
      </c>
      <c r="O1177" s="234"/>
      <c r="P1177" s="15"/>
      <c r="Q1177" s="15"/>
      <c r="R1177" s="15"/>
      <c r="S1177" s="15"/>
      <c r="T1177" s="15"/>
      <c r="U1177" s="15"/>
      <c r="V1177" s="15"/>
      <c r="W1177" s="15"/>
      <c r="X1177" s="15"/>
      <c r="Y1177" s="15"/>
      <c r="Z1177" s="15"/>
    </row>
    <row r="1178" spans="2:26" ht="14" customHeight="1" x14ac:dyDescent="0.25">
      <c r="B1178" s="78">
        <v>11</v>
      </c>
      <c r="C1178" s="9" t="s">
        <v>509</v>
      </c>
      <c r="D1178" s="112">
        <v>0.16</v>
      </c>
      <c r="E1178" s="45">
        <f t="shared" si="60"/>
        <v>1.4168946981571515E-2</v>
      </c>
      <c r="F1178" s="45"/>
      <c r="G1178" s="45"/>
      <c r="H1178" s="104">
        <v>11.292299999999999</v>
      </c>
      <c r="I1178" s="59"/>
      <c r="J1178" s="78">
        <v>11</v>
      </c>
      <c r="K1178" s="9" t="s">
        <v>606</v>
      </c>
      <c r="L1178" s="112">
        <v>0.63</v>
      </c>
      <c r="M1178" s="45">
        <f t="shared" si="61"/>
        <v>9.8778594835290615E-3</v>
      </c>
      <c r="N1178" s="104">
        <v>63.779000000000003</v>
      </c>
      <c r="O1178" s="234"/>
      <c r="P1178" s="15"/>
      <c r="Q1178" s="15"/>
      <c r="R1178" s="15"/>
      <c r="S1178" s="15"/>
      <c r="T1178" s="15"/>
      <c r="U1178" s="15"/>
      <c r="V1178" s="15"/>
      <c r="W1178" s="15"/>
      <c r="X1178" s="15"/>
      <c r="Y1178" s="15"/>
      <c r="Z1178" s="15"/>
    </row>
    <row r="1179" spans="2:26" ht="14" customHeight="1" x14ac:dyDescent="0.25">
      <c r="B1179" s="78">
        <v>12</v>
      </c>
      <c r="C1179" s="9" t="s">
        <v>606</v>
      </c>
      <c r="D1179" s="112">
        <v>0.14000000000000001</v>
      </c>
      <c r="E1179" s="45">
        <f t="shared" si="60"/>
        <v>1.2397828608875077E-2</v>
      </c>
      <c r="F1179" s="45"/>
      <c r="G1179" s="45"/>
      <c r="H1179" s="104">
        <v>11.292299999999999</v>
      </c>
      <c r="I1179" s="59"/>
      <c r="J1179" s="78">
        <v>12</v>
      </c>
      <c r="K1179" s="9" t="s">
        <v>607</v>
      </c>
      <c r="L1179" s="112">
        <v>0.6</v>
      </c>
      <c r="M1179" s="45">
        <f t="shared" si="61"/>
        <v>9.4074852224086281E-3</v>
      </c>
      <c r="N1179" s="104">
        <v>63.779000000000003</v>
      </c>
      <c r="O1179" s="234"/>
      <c r="P1179" s="15"/>
      <c r="Q1179" s="15"/>
      <c r="R1179" s="15"/>
      <c r="S1179" s="15"/>
      <c r="T1179" s="15"/>
      <c r="U1179" s="15"/>
      <c r="V1179" s="15"/>
      <c r="W1179" s="15"/>
      <c r="X1179" s="15"/>
      <c r="Y1179" s="15"/>
      <c r="Z1179" s="15"/>
    </row>
    <row r="1180" spans="2:26" ht="14" customHeight="1" x14ac:dyDescent="0.25">
      <c r="B1180" s="78">
        <v>13</v>
      </c>
      <c r="C1180" s="9" t="s">
        <v>608</v>
      </c>
      <c r="D1180" s="112">
        <v>0.11</v>
      </c>
      <c r="E1180" s="45">
        <f t="shared" si="60"/>
        <v>9.7411510498304158E-3</v>
      </c>
      <c r="F1180" s="45"/>
      <c r="G1180" s="45"/>
      <c r="H1180" s="104">
        <v>11.292299999999999</v>
      </c>
      <c r="I1180" s="59"/>
      <c r="J1180" s="78">
        <v>13</v>
      </c>
      <c r="K1180" s="9" t="s">
        <v>609</v>
      </c>
      <c r="L1180" s="112">
        <v>0.52</v>
      </c>
      <c r="M1180" s="45">
        <f t="shared" si="61"/>
        <v>8.1531538594208121E-3</v>
      </c>
      <c r="N1180" s="104">
        <v>63.779000000000003</v>
      </c>
      <c r="P1180" s="15"/>
      <c r="Q1180" s="15"/>
      <c r="R1180" s="15"/>
      <c r="S1180" s="15"/>
      <c r="T1180" s="15"/>
      <c r="U1180" s="15"/>
      <c r="V1180" s="15"/>
      <c r="W1180" s="15"/>
      <c r="X1180" s="15"/>
      <c r="Y1180" s="15"/>
      <c r="Z1180" s="15"/>
    </row>
    <row r="1181" spans="2:26" ht="14" customHeight="1" x14ac:dyDescent="0.25">
      <c r="B1181" s="78">
        <v>14</v>
      </c>
      <c r="C1181" s="9" t="s">
        <v>610</v>
      </c>
      <c r="D1181" s="112">
        <v>0.1</v>
      </c>
      <c r="E1181" s="45">
        <f t="shared" si="60"/>
        <v>8.8555918634821967E-3</v>
      </c>
      <c r="F1181" s="45"/>
      <c r="G1181" s="45"/>
      <c r="H1181" s="104">
        <v>11.292299999999999</v>
      </c>
      <c r="I1181" s="59"/>
      <c r="J1181" s="78">
        <v>14</v>
      </c>
      <c r="K1181" s="9" t="s">
        <v>566</v>
      </c>
      <c r="L1181" s="112">
        <v>0.51</v>
      </c>
      <c r="M1181" s="45">
        <f t="shared" si="61"/>
        <v>7.9963624390473349E-3</v>
      </c>
      <c r="N1181" s="104">
        <v>63.779000000000003</v>
      </c>
      <c r="P1181" s="15"/>
      <c r="Q1181" s="15"/>
      <c r="R1181" s="15"/>
      <c r="S1181" s="15"/>
      <c r="T1181" s="15"/>
      <c r="U1181" s="15"/>
      <c r="V1181" s="15"/>
      <c r="W1181" s="15"/>
      <c r="X1181" s="15"/>
      <c r="Y1181" s="15"/>
      <c r="Z1181" s="15"/>
    </row>
    <row r="1182" spans="2:26" ht="14" customHeight="1" x14ac:dyDescent="0.25">
      <c r="B1182" s="80">
        <v>15</v>
      </c>
      <c r="C1182" s="110" t="s">
        <v>611</v>
      </c>
      <c r="D1182" s="114">
        <v>0.1</v>
      </c>
      <c r="E1182" s="116">
        <f t="shared" si="60"/>
        <v>8.8573959255978749E-3</v>
      </c>
      <c r="F1182" s="116"/>
      <c r="G1182" s="116"/>
      <c r="H1182" s="105">
        <v>11.29</v>
      </c>
      <c r="I1182" s="59"/>
      <c r="J1182" s="80">
        <v>15</v>
      </c>
      <c r="K1182" s="110" t="s">
        <v>326</v>
      </c>
      <c r="L1182" s="114">
        <v>0.42</v>
      </c>
      <c r="M1182" s="116">
        <f t="shared" si="61"/>
        <v>6.5851364063969891E-3</v>
      </c>
      <c r="N1182" s="105">
        <v>63.78</v>
      </c>
      <c r="P1182" s="15"/>
      <c r="Q1182" s="15"/>
      <c r="R1182" s="15"/>
      <c r="S1182" s="15"/>
      <c r="T1182" s="15"/>
      <c r="U1182" s="15"/>
      <c r="V1182" s="15"/>
      <c r="W1182" s="15"/>
      <c r="X1182" s="15"/>
      <c r="Y1182" s="15"/>
      <c r="Z1182" s="15"/>
    </row>
    <row r="1183" spans="2:26" ht="14" customHeight="1" x14ac:dyDescent="0.25">
      <c r="D1183" s="48"/>
      <c r="E1183" s="16"/>
      <c r="F1183" s="16"/>
      <c r="G1183" s="16"/>
      <c r="L1183" s="48"/>
      <c r="M1183" s="16"/>
      <c r="O1183" s="49"/>
      <c r="P1183" s="15"/>
      <c r="Q1183" s="15"/>
      <c r="R1183" s="15"/>
      <c r="S1183" s="15"/>
      <c r="T1183" s="15"/>
      <c r="U1183" s="15"/>
      <c r="V1183" s="15"/>
      <c r="W1183" s="15"/>
      <c r="X1183" s="15"/>
      <c r="Y1183" s="15"/>
      <c r="Z1183" s="15"/>
    </row>
    <row r="1184" spans="2:26" ht="14" customHeight="1" x14ac:dyDescent="0.25">
      <c r="D1184" s="48"/>
      <c r="E1184" s="16"/>
      <c r="F1184" s="16"/>
      <c r="G1184" s="16"/>
      <c r="L1184" s="48"/>
      <c r="M1184" s="16"/>
      <c r="O1184" s="234"/>
      <c r="P1184" s="15"/>
      <c r="Q1184" s="15"/>
      <c r="R1184" s="15"/>
      <c r="S1184" s="15"/>
      <c r="T1184" s="15"/>
      <c r="U1184" s="15"/>
      <c r="V1184" s="15"/>
      <c r="W1184" s="15"/>
      <c r="X1184" s="15"/>
      <c r="Y1184" s="15"/>
      <c r="Z1184" s="15"/>
    </row>
    <row r="1185" spans="2:26" ht="14" customHeight="1" x14ac:dyDescent="0.25">
      <c r="B1185" s="15" t="s">
        <v>612</v>
      </c>
      <c r="D1185" s="48"/>
      <c r="E1185" s="16"/>
      <c r="F1185" s="16"/>
      <c r="G1185" s="16"/>
      <c r="J1185" s="15" t="s">
        <v>613</v>
      </c>
      <c r="L1185" s="48"/>
      <c r="M1185" s="16"/>
      <c r="O1185" s="234"/>
      <c r="P1185" s="15"/>
      <c r="Q1185" s="15"/>
      <c r="R1185" s="15"/>
      <c r="S1185" s="15"/>
      <c r="T1185" s="15"/>
      <c r="U1185" s="15"/>
      <c r="V1185" s="15"/>
      <c r="W1185" s="15"/>
      <c r="X1185" s="15"/>
      <c r="Y1185" s="15"/>
      <c r="Z1185" s="15"/>
    </row>
    <row r="1186" spans="2:26" ht="14" customHeight="1" x14ac:dyDescent="0.25">
      <c r="B1186" s="83" t="s">
        <v>582</v>
      </c>
      <c r="C1186" s="85" t="s">
        <v>335</v>
      </c>
      <c r="D1186" s="87" t="s">
        <v>583</v>
      </c>
      <c r="E1186" s="107" t="s">
        <v>337</v>
      </c>
      <c r="F1186" s="107"/>
      <c r="G1186" s="107"/>
      <c r="H1186" s="108" t="s">
        <v>584</v>
      </c>
      <c r="I1186" s="59"/>
      <c r="J1186" s="83" t="s">
        <v>582</v>
      </c>
      <c r="K1186" s="85" t="s">
        <v>335</v>
      </c>
      <c r="L1186" s="87" t="s">
        <v>600</v>
      </c>
      <c r="M1186" s="107" t="s">
        <v>337</v>
      </c>
      <c r="N1186" s="108" t="s">
        <v>587</v>
      </c>
      <c r="O1186" s="234"/>
      <c r="P1186" s="15"/>
      <c r="Q1186" s="15"/>
      <c r="R1186" s="15"/>
      <c r="S1186" s="15"/>
      <c r="T1186" s="15"/>
      <c r="U1186" s="15"/>
      <c r="V1186" s="15"/>
      <c r="W1186" s="15"/>
      <c r="X1186" s="15"/>
      <c r="Y1186" s="15"/>
      <c r="Z1186" s="15"/>
    </row>
    <row r="1187" spans="2:26" ht="14" customHeight="1" x14ac:dyDescent="0.25">
      <c r="B1187" s="78">
        <v>1</v>
      </c>
      <c r="C1187" s="9" t="s">
        <v>68</v>
      </c>
      <c r="D1187" s="112">
        <v>0.73</v>
      </c>
      <c r="E1187" s="45">
        <f t="shared" ref="E1187:E1196" si="62">D1187/H1187</f>
        <v>6.5766358255479773E-2</v>
      </c>
      <c r="F1187" s="45"/>
      <c r="G1187" s="45"/>
      <c r="H1187" s="104">
        <v>11.0999</v>
      </c>
      <c r="I1187" s="59"/>
      <c r="J1187" s="78">
        <v>1</v>
      </c>
      <c r="K1187" s="9" t="s">
        <v>68</v>
      </c>
      <c r="L1187" s="112">
        <v>25.76</v>
      </c>
      <c r="M1187" s="45">
        <f t="shared" ref="M1187:M1196" si="63">L1187/N1187</f>
        <v>0.49080035133379191</v>
      </c>
      <c r="N1187" s="104">
        <v>52.485700000000001</v>
      </c>
      <c r="O1187" s="234"/>
      <c r="P1187" s="15"/>
      <c r="Q1187" s="15"/>
      <c r="R1187" s="15"/>
      <c r="S1187" s="15"/>
      <c r="T1187" s="15"/>
      <c r="U1187" s="15"/>
      <c r="V1187" s="15"/>
      <c r="W1187" s="15"/>
      <c r="X1187" s="15"/>
      <c r="Y1187" s="15"/>
      <c r="Z1187" s="15"/>
    </row>
    <row r="1188" spans="2:26" ht="14" customHeight="1" x14ac:dyDescent="0.25">
      <c r="B1188" s="78">
        <v>2</v>
      </c>
      <c r="C1188" s="9" t="s">
        <v>69</v>
      </c>
      <c r="D1188" s="112">
        <v>1.73</v>
      </c>
      <c r="E1188" s="45">
        <f t="shared" si="62"/>
        <v>0.1558572599753151</v>
      </c>
      <c r="F1188" s="45"/>
      <c r="G1188" s="45"/>
      <c r="H1188" s="104">
        <v>11.0999</v>
      </c>
      <c r="I1188" s="59"/>
      <c r="J1188" s="78">
        <v>2</v>
      </c>
      <c r="K1188" s="9" t="s">
        <v>69</v>
      </c>
      <c r="L1188" s="112">
        <v>7.65</v>
      </c>
      <c r="M1188" s="45">
        <f t="shared" si="63"/>
        <v>0.14575398632389394</v>
      </c>
      <c r="N1188" s="104">
        <v>52.485700000000001</v>
      </c>
      <c r="O1188" s="234"/>
      <c r="P1188" s="15"/>
      <c r="Q1188" s="15"/>
      <c r="R1188" s="15"/>
      <c r="S1188" s="15"/>
      <c r="T1188" s="15"/>
      <c r="U1188" s="15"/>
      <c r="V1188" s="15"/>
      <c r="W1188" s="15"/>
      <c r="X1188" s="15"/>
      <c r="Y1188" s="15"/>
      <c r="Z1188" s="15"/>
    </row>
    <row r="1189" spans="2:26" ht="14" customHeight="1" x14ac:dyDescent="0.25">
      <c r="B1189" s="78">
        <v>3</v>
      </c>
      <c r="C1189" s="9" t="s">
        <v>601</v>
      </c>
      <c r="D1189" s="112">
        <v>0.8</v>
      </c>
      <c r="E1189" s="45">
        <f t="shared" si="62"/>
        <v>7.2072721375868259E-2</v>
      </c>
      <c r="F1189" s="45"/>
      <c r="G1189" s="45"/>
      <c r="H1189" s="104">
        <v>11.0999</v>
      </c>
      <c r="I1189" s="59"/>
      <c r="J1189" s="78">
        <v>3</v>
      </c>
      <c r="K1189" s="9" t="s">
        <v>601</v>
      </c>
      <c r="L1189" s="112">
        <v>4.72</v>
      </c>
      <c r="M1189" s="45">
        <f t="shared" si="63"/>
        <v>8.9929256921409059E-2</v>
      </c>
      <c r="N1189" s="104">
        <v>52.485700000000001</v>
      </c>
      <c r="O1189" s="234"/>
      <c r="P1189" s="15"/>
      <c r="Q1189" s="15"/>
      <c r="R1189" s="15"/>
      <c r="S1189" s="15"/>
      <c r="T1189" s="15"/>
      <c r="U1189" s="15"/>
      <c r="V1189" s="15"/>
      <c r="W1189" s="15"/>
      <c r="X1189" s="15"/>
      <c r="Y1189" s="15"/>
      <c r="Z1189" s="15"/>
    </row>
    <row r="1190" spans="2:26" ht="14" customHeight="1" x14ac:dyDescent="0.25">
      <c r="B1190" s="78">
        <v>4</v>
      </c>
      <c r="C1190" s="9" t="s">
        <v>595</v>
      </c>
      <c r="D1190" s="112">
        <v>0.71</v>
      </c>
      <c r="E1190" s="45">
        <f t="shared" si="62"/>
        <v>6.3964540221083069E-2</v>
      </c>
      <c r="F1190" s="45"/>
      <c r="G1190" s="45"/>
      <c r="H1190" s="104">
        <v>11.0999</v>
      </c>
      <c r="I1190" s="59"/>
      <c r="J1190" s="78">
        <v>4</v>
      </c>
      <c r="K1190" s="9" t="s">
        <v>595</v>
      </c>
      <c r="L1190" s="112">
        <v>3.63</v>
      </c>
      <c r="M1190" s="45">
        <f t="shared" si="63"/>
        <v>6.9161695471337908E-2</v>
      </c>
      <c r="N1190" s="104">
        <v>52.485700000000001</v>
      </c>
      <c r="O1190" s="234"/>
      <c r="P1190" s="15"/>
      <c r="Q1190" s="15"/>
      <c r="R1190" s="15"/>
      <c r="S1190" s="15"/>
      <c r="T1190" s="15"/>
      <c r="U1190" s="15"/>
      <c r="V1190" s="15"/>
      <c r="W1190" s="15"/>
      <c r="X1190" s="15"/>
      <c r="Y1190" s="15"/>
      <c r="Z1190" s="15"/>
    </row>
    <row r="1191" spans="2:26" ht="14" customHeight="1" x14ac:dyDescent="0.25">
      <c r="B1191" s="78">
        <v>5</v>
      </c>
      <c r="C1191" s="9" t="s">
        <v>70</v>
      </c>
      <c r="D1191" s="112">
        <v>0.64</v>
      </c>
      <c r="E1191" s="45">
        <f t="shared" si="62"/>
        <v>5.7658177100694603E-2</v>
      </c>
      <c r="F1191" s="45"/>
      <c r="G1191" s="45"/>
      <c r="H1191" s="104">
        <v>11.0999</v>
      </c>
      <c r="I1191" s="59"/>
      <c r="J1191" s="78">
        <v>5</v>
      </c>
      <c r="K1191" s="9" t="s">
        <v>70</v>
      </c>
      <c r="L1191" s="112">
        <v>2.76</v>
      </c>
      <c r="M1191" s="45">
        <f t="shared" si="63"/>
        <v>5.2585751928620555E-2</v>
      </c>
      <c r="N1191" s="104">
        <v>52.485700000000001</v>
      </c>
      <c r="O1191" s="234"/>
      <c r="P1191" s="15"/>
      <c r="Q1191" s="15"/>
      <c r="R1191" s="15"/>
      <c r="S1191" s="15"/>
      <c r="T1191" s="15"/>
      <c r="U1191" s="15"/>
      <c r="V1191" s="15"/>
      <c r="W1191" s="15"/>
      <c r="X1191" s="15"/>
      <c r="Y1191" s="15"/>
      <c r="Z1191" s="15"/>
    </row>
    <row r="1192" spans="2:26" ht="14" customHeight="1" x14ac:dyDescent="0.25">
      <c r="B1192" s="78">
        <v>6</v>
      </c>
      <c r="C1192" s="9" t="s">
        <v>73</v>
      </c>
      <c r="D1192" s="112">
        <v>0.22</v>
      </c>
      <c r="E1192" s="45">
        <f t="shared" si="62"/>
        <v>1.9819998378363769E-2</v>
      </c>
      <c r="F1192" s="45"/>
      <c r="G1192" s="45"/>
      <c r="H1192" s="104">
        <v>11.0999</v>
      </c>
      <c r="I1192" s="59"/>
      <c r="J1192" s="78">
        <v>6</v>
      </c>
      <c r="K1192" s="9" t="s">
        <v>73</v>
      </c>
      <c r="L1192" s="112">
        <v>0.96</v>
      </c>
      <c r="M1192" s="45">
        <f t="shared" si="63"/>
        <v>1.8290696322998453E-2</v>
      </c>
      <c r="N1192" s="104">
        <v>52.485700000000001</v>
      </c>
      <c r="O1192" s="234"/>
      <c r="P1192" s="15"/>
      <c r="Q1192" s="15"/>
      <c r="R1192" s="15"/>
      <c r="S1192" s="15"/>
      <c r="T1192" s="15"/>
      <c r="U1192" s="15"/>
      <c r="V1192" s="15"/>
      <c r="W1192" s="15"/>
      <c r="X1192" s="15"/>
      <c r="Y1192" s="15"/>
      <c r="Z1192" s="15"/>
    </row>
    <row r="1193" spans="2:26" ht="14" customHeight="1" x14ac:dyDescent="0.25">
      <c r="B1193" s="78">
        <v>7</v>
      </c>
      <c r="C1193" s="9" t="s">
        <v>74</v>
      </c>
      <c r="D1193" s="112">
        <v>0.21</v>
      </c>
      <c r="E1193" s="45">
        <f t="shared" si="62"/>
        <v>1.8919089361165417E-2</v>
      </c>
      <c r="F1193" s="45"/>
      <c r="G1193" s="45"/>
      <c r="H1193" s="104">
        <v>11.0999</v>
      </c>
      <c r="I1193" s="59"/>
      <c r="J1193" s="78">
        <v>7</v>
      </c>
      <c r="K1193" s="9" t="s">
        <v>74</v>
      </c>
      <c r="L1193" s="112">
        <v>0.84</v>
      </c>
      <c r="M1193" s="45">
        <f t="shared" si="63"/>
        <v>1.6004359282623646E-2</v>
      </c>
      <c r="N1193" s="104">
        <v>52.485700000000001</v>
      </c>
      <c r="O1193" s="234"/>
      <c r="P1193" s="15"/>
      <c r="Q1193" s="15"/>
      <c r="R1193" s="15"/>
      <c r="S1193" s="15"/>
      <c r="T1193" s="15"/>
      <c r="U1193" s="15"/>
      <c r="V1193" s="15"/>
      <c r="W1193" s="15"/>
      <c r="X1193" s="15"/>
      <c r="Y1193" s="15"/>
      <c r="Z1193" s="15"/>
    </row>
    <row r="1194" spans="2:26" ht="14" customHeight="1" x14ac:dyDescent="0.25">
      <c r="B1194" s="78">
        <v>8</v>
      </c>
      <c r="C1194" s="9" t="s">
        <v>606</v>
      </c>
      <c r="D1194" s="112">
        <v>0.17</v>
      </c>
      <c r="E1194" s="45">
        <f t="shared" si="62"/>
        <v>1.5315453292372005E-2</v>
      </c>
      <c r="F1194" s="45"/>
      <c r="G1194" s="45"/>
      <c r="H1194" s="104">
        <v>11.0999</v>
      </c>
      <c r="I1194" s="59"/>
      <c r="J1194" s="78">
        <v>8</v>
      </c>
      <c r="K1194" s="9" t="s">
        <v>357</v>
      </c>
      <c r="L1194" s="112">
        <v>0.78</v>
      </c>
      <c r="M1194" s="45">
        <f t="shared" si="63"/>
        <v>1.4861190762436244E-2</v>
      </c>
      <c r="N1194" s="104">
        <v>52.485700000000001</v>
      </c>
      <c r="P1194" s="15"/>
      <c r="Q1194" s="15"/>
      <c r="R1194" s="15"/>
      <c r="S1194" s="15"/>
      <c r="T1194" s="15"/>
      <c r="U1194" s="15"/>
      <c r="V1194" s="15"/>
      <c r="W1194" s="15"/>
      <c r="X1194" s="15"/>
      <c r="Y1194" s="15"/>
      <c r="Z1194" s="15"/>
    </row>
    <row r="1195" spans="2:26" ht="14" customHeight="1" x14ac:dyDescent="0.25">
      <c r="B1195" s="78">
        <v>9</v>
      </c>
      <c r="C1195" s="9" t="s">
        <v>590</v>
      </c>
      <c r="D1195" s="112">
        <v>0.16</v>
      </c>
      <c r="E1195" s="45">
        <f t="shared" si="62"/>
        <v>1.4414544275173651E-2</v>
      </c>
      <c r="F1195" s="45"/>
      <c r="G1195" s="45"/>
      <c r="H1195" s="104">
        <v>11.0999</v>
      </c>
      <c r="I1195" s="59"/>
      <c r="J1195" s="78">
        <v>9</v>
      </c>
      <c r="K1195" s="9" t="s">
        <v>590</v>
      </c>
      <c r="L1195" s="112">
        <v>0.64</v>
      </c>
      <c r="M1195" s="45">
        <f t="shared" si="63"/>
        <v>1.2193797548665637E-2</v>
      </c>
      <c r="N1195" s="104">
        <v>52.485700000000001</v>
      </c>
      <c r="P1195" s="15"/>
      <c r="Q1195" s="15"/>
      <c r="R1195" s="15"/>
      <c r="S1195" s="15"/>
      <c r="T1195" s="15"/>
      <c r="U1195" s="15"/>
      <c r="V1195" s="15"/>
      <c r="W1195" s="15"/>
      <c r="X1195" s="15"/>
      <c r="Y1195" s="15"/>
      <c r="Z1195" s="15"/>
    </row>
    <row r="1196" spans="2:26" ht="14" customHeight="1" x14ac:dyDescent="0.25">
      <c r="B1196" s="80">
        <v>10</v>
      </c>
      <c r="C1196" s="110" t="s">
        <v>509</v>
      </c>
      <c r="D1196" s="114">
        <v>0.15</v>
      </c>
      <c r="E1196" s="116">
        <f t="shared" si="62"/>
        <v>1.3513513513513514E-2</v>
      </c>
      <c r="F1196" s="116"/>
      <c r="G1196" s="116"/>
      <c r="H1196" s="105">
        <v>11.1</v>
      </c>
      <c r="I1196" s="59"/>
      <c r="J1196" s="80">
        <v>10</v>
      </c>
      <c r="K1196" s="110" t="s">
        <v>509</v>
      </c>
      <c r="L1196" s="114">
        <v>0.52</v>
      </c>
      <c r="M1196" s="116">
        <f t="shared" si="63"/>
        <v>9.9066488855020004E-3</v>
      </c>
      <c r="N1196" s="105">
        <v>52.49</v>
      </c>
      <c r="P1196" s="15"/>
      <c r="Q1196" s="15"/>
      <c r="R1196" s="15"/>
      <c r="S1196" s="15"/>
      <c r="T1196" s="15"/>
      <c r="U1196" s="15"/>
      <c r="V1196" s="15"/>
      <c r="W1196" s="15"/>
      <c r="X1196" s="15"/>
      <c r="Y1196" s="15"/>
      <c r="Z1196" s="15"/>
    </row>
    <row r="1197" spans="2:26" ht="14" customHeight="1" x14ac:dyDescent="0.25">
      <c r="D1197" s="48"/>
      <c r="E1197" s="16"/>
      <c r="F1197" s="16"/>
      <c r="G1197" s="16"/>
      <c r="L1197" s="48"/>
      <c r="M1197" s="16"/>
      <c r="O1197" s="49"/>
      <c r="P1197" s="15"/>
      <c r="Q1197" s="15"/>
      <c r="R1197" s="15"/>
      <c r="S1197" s="15"/>
      <c r="T1197" s="15"/>
      <c r="U1197" s="15"/>
      <c r="V1197" s="15"/>
      <c r="W1197" s="15"/>
      <c r="X1197" s="15"/>
      <c r="Y1197" s="15"/>
      <c r="Z1197" s="15"/>
    </row>
    <row r="1198" spans="2:26" ht="14" customHeight="1" x14ac:dyDescent="0.25">
      <c r="D1198" s="48"/>
      <c r="E1198" s="16"/>
      <c r="F1198" s="16"/>
      <c r="G1198" s="16"/>
      <c r="L1198" s="48"/>
      <c r="M1198" s="16"/>
      <c r="O1198" s="234"/>
      <c r="P1198" s="15"/>
      <c r="Q1198" s="15"/>
      <c r="R1198" s="15"/>
      <c r="S1198" s="15"/>
      <c r="T1198" s="15"/>
      <c r="U1198" s="15"/>
      <c r="V1198" s="15"/>
      <c r="W1198" s="15"/>
      <c r="X1198" s="15"/>
      <c r="Y1198" s="15"/>
      <c r="Z1198" s="15"/>
    </row>
    <row r="1199" spans="2:26" ht="14" customHeight="1" x14ac:dyDescent="0.25">
      <c r="B1199" s="15" t="s">
        <v>614</v>
      </c>
      <c r="D1199" s="48"/>
      <c r="E1199" s="16"/>
      <c r="F1199" s="16"/>
      <c r="G1199" s="16"/>
      <c r="J1199" s="15" t="s">
        <v>615</v>
      </c>
      <c r="L1199" s="48"/>
      <c r="M1199" s="16"/>
      <c r="O1199" s="234"/>
      <c r="P1199" s="15"/>
      <c r="Q1199" s="15"/>
      <c r="R1199" s="15"/>
      <c r="S1199" s="15"/>
      <c r="T1199" s="15"/>
      <c r="U1199" s="15"/>
      <c r="V1199" s="15"/>
      <c r="W1199" s="15"/>
      <c r="X1199" s="15"/>
      <c r="Y1199" s="15"/>
      <c r="Z1199" s="15"/>
    </row>
    <row r="1200" spans="2:26" ht="14" customHeight="1" x14ac:dyDescent="0.25">
      <c r="B1200" s="83" t="s">
        <v>582</v>
      </c>
      <c r="C1200" s="85" t="s">
        <v>335</v>
      </c>
      <c r="D1200" s="87" t="s">
        <v>583</v>
      </c>
      <c r="E1200" s="107" t="s">
        <v>337</v>
      </c>
      <c r="F1200" s="107"/>
      <c r="G1200" s="107"/>
      <c r="H1200" s="108" t="s">
        <v>584</v>
      </c>
      <c r="I1200" s="59"/>
      <c r="J1200" s="83" t="s">
        <v>582</v>
      </c>
      <c r="K1200" s="85" t="s">
        <v>335</v>
      </c>
      <c r="L1200" s="87" t="s">
        <v>600</v>
      </c>
      <c r="M1200" s="107" t="s">
        <v>337</v>
      </c>
      <c r="N1200" s="108" t="s">
        <v>587</v>
      </c>
      <c r="O1200" s="234"/>
      <c r="P1200" s="15"/>
      <c r="Q1200" s="15"/>
      <c r="R1200" s="15"/>
      <c r="S1200" s="15"/>
      <c r="T1200" s="15"/>
      <c r="U1200" s="15"/>
      <c r="V1200" s="15"/>
      <c r="W1200" s="15"/>
      <c r="X1200" s="15"/>
      <c r="Y1200" s="15"/>
      <c r="Z1200" s="15"/>
    </row>
    <row r="1201" spans="2:26" ht="14" customHeight="1" x14ac:dyDescent="0.25">
      <c r="B1201" s="78">
        <v>1</v>
      </c>
      <c r="C1201" s="9" t="s">
        <v>68</v>
      </c>
      <c r="D1201" s="112">
        <v>4.28</v>
      </c>
      <c r="E1201" s="45">
        <f t="shared" ref="E1201:E1210" si="64">D1201/H1201</f>
        <v>0.43874935930292158</v>
      </c>
      <c r="F1201" s="45"/>
      <c r="G1201" s="45"/>
      <c r="H1201" s="104">
        <v>9.7550000000000008</v>
      </c>
      <c r="I1201" s="59"/>
      <c r="J1201" s="78">
        <v>1</v>
      </c>
      <c r="K1201" s="9" t="s">
        <v>68</v>
      </c>
      <c r="L1201" s="112">
        <v>20.32</v>
      </c>
      <c r="M1201" s="45">
        <f t="shared" ref="M1201:M1210" si="65">L1201/N1201</f>
        <v>0.49098254499062494</v>
      </c>
      <c r="N1201" s="104">
        <v>41.386400000000002</v>
      </c>
      <c r="O1201" s="234"/>
      <c r="P1201" s="15"/>
      <c r="Q1201" s="15"/>
      <c r="R1201" s="15"/>
      <c r="S1201" s="15"/>
      <c r="T1201" s="15"/>
      <c r="U1201" s="15"/>
      <c r="V1201" s="15"/>
      <c r="W1201" s="15"/>
      <c r="X1201" s="15"/>
      <c r="Y1201" s="15"/>
      <c r="Z1201" s="15"/>
    </row>
    <row r="1202" spans="2:26" ht="14" customHeight="1" x14ac:dyDescent="0.25">
      <c r="B1202" s="78">
        <v>2</v>
      </c>
      <c r="C1202" s="9" t="s">
        <v>69</v>
      </c>
      <c r="D1202" s="112">
        <v>1.68</v>
      </c>
      <c r="E1202" s="45">
        <f t="shared" si="64"/>
        <v>0.17221937467965143</v>
      </c>
      <c r="F1202" s="45"/>
      <c r="G1202" s="45"/>
      <c r="H1202" s="104">
        <v>9.7550000000000008</v>
      </c>
      <c r="I1202" s="59"/>
      <c r="J1202" s="78">
        <v>2</v>
      </c>
      <c r="K1202" s="9" t="s">
        <v>69</v>
      </c>
      <c r="L1202" s="112">
        <v>5.91</v>
      </c>
      <c r="M1202" s="45">
        <f t="shared" si="65"/>
        <v>0.1428005335085922</v>
      </c>
      <c r="N1202" s="104">
        <v>41.386400000000002</v>
      </c>
      <c r="O1202" s="234"/>
      <c r="P1202" s="15"/>
      <c r="Q1202" s="15"/>
      <c r="R1202" s="15"/>
      <c r="S1202" s="15"/>
      <c r="T1202" s="15"/>
      <c r="U1202" s="15"/>
      <c r="V1202" s="15"/>
      <c r="W1202" s="15"/>
      <c r="X1202" s="15"/>
      <c r="Y1202" s="15"/>
      <c r="Z1202" s="15"/>
    </row>
    <row r="1203" spans="2:26" ht="14" customHeight="1" x14ac:dyDescent="0.25">
      <c r="B1203" s="78">
        <v>3</v>
      </c>
      <c r="C1203" s="9" t="s">
        <v>601</v>
      </c>
      <c r="D1203" s="112">
        <v>1.31</v>
      </c>
      <c r="E1203" s="45">
        <f t="shared" si="64"/>
        <v>0.13429010763710916</v>
      </c>
      <c r="F1203" s="45"/>
      <c r="G1203" s="45"/>
      <c r="H1203" s="104">
        <v>9.7550000000000008</v>
      </c>
      <c r="I1203" s="59"/>
      <c r="J1203" s="78">
        <v>3</v>
      </c>
      <c r="K1203" s="9" t="s">
        <v>601</v>
      </c>
      <c r="L1203" s="112">
        <v>3.92</v>
      </c>
      <c r="M1203" s="45">
        <f t="shared" si="65"/>
        <v>9.471710513598669E-2</v>
      </c>
      <c r="N1203" s="104">
        <v>41.386400000000002</v>
      </c>
      <c r="O1203" s="234"/>
      <c r="P1203" s="15"/>
      <c r="Q1203" s="15"/>
      <c r="R1203" s="15"/>
      <c r="S1203" s="15"/>
      <c r="T1203" s="15"/>
      <c r="U1203" s="15"/>
      <c r="V1203" s="15"/>
      <c r="W1203" s="15"/>
      <c r="X1203" s="15"/>
      <c r="Y1203" s="15"/>
      <c r="Z1203" s="15"/>
    </row>
    <row r="1204" spans="2:26" ht="14" customHeight="1" x14ac:dyDescent="0.25">
      <c r="B1204" s="78">
        <v>4</v>
      </c>
      <c r="C1204" s="9" t="s">
        <v>595</v>
      </c>
      <c r="D1204" s="112">
        <v>0.73</v>
      </c>
      <c r="E1204" s="45">
        <f t="shared" si="64"/>
        <v>7.4833418759610443E-2</v>
      </c>
      <c r="F1204" s="45"/>
      <c r="G1204" s="45"/>
      <c r="H1204" s="104">
        <v>9.7550000000000008</v>
      </c>
      <c r="I1204" s="59"/>
      <c r="J1204" s="78">
        <v>4</v>
      </c>
      <c r="K1204" s="9" t="s">
        <v>595</v>
      </c>
      <c r="L1204" s="112">
        <v>2.92</v>
      </c>
      <c r="M1204" s="45">
        <f t="shared" si="65"/>
        <v>7.0554578315581928E-2</v>
      </c>
      <c r="N1204" s="104">
        <v>41.386400000000002</v>
      </c>
      <c r="O1204" s="234"/>
      <c r="P1204" s="15"/>
      <c r="Q1204" s="15"/>
      <c r="R1204" s="15"/>
      <c r="S1204" s="15"/>
      <c r="T1204" s="15"/>
      <c r="U1204" s="15"/>
      <c r="V1204" s="15"/>
      <c r="W1204" s="15"/>
      <c r="X1204" s="15"/>
      <c r="Y1204" s="15"/>
      <c r="Z1204" s="15"/>
    </row>
    <row r="1205" spans="2:26" ht="14" customHeight="1" x14ac:dyDescent="0.25">
      <c r="B1205" s="78">
        <v>5</v>
      </c>
      <c r="C1205" s="9" t="s">
        <v>70</v>
      </c>
      <c r="D1205" s="112">
        <v>0.49</v>
      </c>
      <c r="E1205" s="45">
        <f t="shared" si="64"/>
        <v>5.0230650948231668E-2</v>
      </c>
      <c r="F1205" s="45"/>
      <c r="G1205" s="45"/>
      <c r="H1205" s="104">
        <v>9.7550000000000008</v>
      </c>
      <c r="I1205" s="59"/>
      <c r="J1205" s="78">
        <v>5</v>
      </c>
      <c r="K1205" s="9" t="s">
        <v>70</v>
      </c>
      <c r="L1205" s="112">
        <v>2.13</v>
      </c>
      <c r="M1205" s="45">
        <f t="shared" si="65"/>
        <v>5.1466182127462158E-2</v>
      </c>
      <c r="N1205" s="104">
        <v>41.386400000000002</v>
      </c>
      <c r="O1205" s="234"/>
      <c r="P1205" s="15"/>
      <c r="Q1205" s="15"/>
      <c r="R1205" s="15"/>
      <c r="S1205" s="15"/>
      <c r="T1205" s="15"/>
      <c r="U1205" s="15"/>
      <c r="V1205" s="15"/>
      <c r="W1205" s="15"/>
      <c r="X1205" s="15"/>
      <c r="Y1205" s="15"/>
      <c r="Z1205" s="15"/>
    </row>
    <row r="1206" spans="2:26" ht="14" customHeight="1" x14ac:dyDescent="0.25">
      <c r="B1206" s="78">
        <v>6</v>
      </c>
      <c r="C1206" s="9" t="s">
        <v>73</v>
      </c>
      <c r="D1206" s="112">
        <v>0.13</v>
      </c>
      <c r="E1206" s="45">
        <f t="shared" si="64"/>
        <v>1.3326499231163505E-2</v>
      </c>
      <c r="F1206" s="45"/>
      <c r="G1206" s="45"/>
      <c r="H1206" s="104">
        <v>9.7550000000000008</v>
      </c>
      <c r="I1206" s="59"/>
      <c r="J1206" s="78">
        <v>6</v>
      </c>
      <c r="K1206" s="9" t="s">
        <v>73</v>
      </c>
      <c r="L1206" s="112">
        <v>0.74</v>
      </c>
      <c r="M1206" s="45">
        <f t="shared" si="65"/>
        <v>1.788026984709953E-2</v>
      </c>
      <c r="N1206" s="104">
        <v>41.386400000000002</v>
      </c>
      <c r="O1206" s="234"/>
      <c r="P1206" s="15"/>
      <c r="Q1206" s="15"/>
      <c r="R1206" s="15"/>
      <c r="S1206" s="15"/>
      <c r="T1206" s="15"/>
      <c r="U1206" s="15"/>
      <c r="V1206" s="15"/>
      <c r="W1206" s="15"/>
      <c r="X1206" s="15"/>
      <c r="Y1206" s="15"/>
      <c r="Z1206" s="15"/>
    </row>
    <row r="1207" spans="2:26" ht="14" customHeight="1" x14ac:dyDescent="0.25">
      <c r="B1207" s="78">
        <v>7</v>
      </c>
      <c r="C1207" s="9" t="s">
        <v>590</v>
      </c>
      <c r="D1207" s="112">
        <v>0.13</v>
      </c>
      <c r="E1207" s="45">
        <f t="shared" si="64"/>
        <v>1.3326499231163505E-2</v>
      </c>
      <c r="F1207" s="45"/>
      <c r="G1207" s="45"/>
      <c r="H1207" s="104">
        <v>9.7550000000000008</v>
      </c>
      <c r="I1207" s="59"/>
      <c r="J1207" s="78">
        <v>7</v>
      </c>
      <c r="K1207" s="9" t="s">
        <v>357</v>
      </c>
      <c r="L1207" s="112">
        <v>0.7</v>
      </c>
      <c r="M1207" s="45">
        <f t="shared" si="65"/>
        <v>1.6913768774283338E-2</v>
      </c>
      <c r="N1207" s="104">
        <v>41.386400000000002</v>
      </c>
      <c r="O1207" s="234"/>
      <c r="P1207" s="15"/>
      <c r="Q1207" s="15"/>
      <c r="R1207" s="15"/>
      <c r="S1207" s="15"/>
      <c r="T1207" s="15"/>
      <c r="U1207" s="15"/>
      <c r="V1207" s="15"/>
      <c r="W1207" s="15"/>
      <c r="X1207" s="15"/>
      <c r="Y1207" s="15"/>
      <c r="Z1207" s="15"/>
    </row>
    <row r="1208" spans="2:26" ht="14" customHeight="1" x14ac:dyDescent="0.25">
      <c r="B1208" s="78">
        <v>8</v>
      </c>
      <c r="C1208" s="9" t="s">
        <v>606</v>
      </c>
      <c r="D1208" s="112">
        <v>0.11</v>
      </c>
      <c r="E1208" s="45">
        <f t="shared" si="64"/>
        <v>1.1276268580215274E-2</v>
      </c>
      <c r="F1208" s="45"/>
      <c r="G1208" s="45"/>
      <c r="H1208" s="104">
        <v>9.7550000000000008</v>
      </c>
      <c r="I1208" s="59"/>
      <c r="J1208" s="78">
        <v>8</v>
      </c>
      <c r="K1208" s="9" t="s">
        <v>616</v>
      </c>
      <c r="L1208" s="112">
        <v>0.63</v>
      </c>
      <c r="M1208" s="45">
        <f t="shared" si="65"/>
        <v>1.5222391896855005E-2</v>
      </c>
      <c r="N1208" s="104">
        <v>41.386400000000002</v>
      </c>
      <c r="P1208" s="15"/>
      <c r="Q1208" s="15"/>
      <c r="R1208" s="15"/>
      <c r="S1208" s="15"/>
      <c r="T1208" s="15"/>
      <c r="U1208" s="15"/>
      <c r="V1208" s="15"/>
      <c r="W1208" s="15"/>
      <c r="X1208" s="15"/>
      <c r="Y1208" s="15"/>
      <c r="Z1208" s="15"/>
    </row>
    <row r="1209" spans="2:26" ht="14" customHeight="1" x14ac:dyDescent="0.25">
      <c r="B1209" s="78">
        <v>9</v>
      </c>
      <c r="C1209" s="9" t="s">
        <v>357</v>
      </c>
      <c r="D1209" s="112">
        <v>0.09</v>
      </c>
      <c r="E1209" s="45">
        <f t="shared" si="64"/>
        <v>9.2260379292670412E-3</v>
      </c>
      <c r="F1209" s="45"/>
      <c r="G1209" s="45"/>
      <c r="H1209" s="104">
        <v>9.7550000000000008</v>
      </c>
      <c r="I1209" s="59"/>
      <c r="J1209" s="78">
        <v>9</v>
      </c>
      <c r="K1209" s="9" t="s">
        <v>590</v>
      </c>
      <c r="L1209" s="112">
        <v>0.48</v>
      </c>
      <c r="M1209" s="45">
        <f t="shared" si="65"/>
        <v>1.1598012873794288E-2</v>
      </c>
      <c r="N1209" s="104">
        <v>41.386400000000002</v>
      </c>
      <c r="P1209" s="15"/>
      <c r="Q1209" s="15"/>
      <c r="R1209" s="15"/>
      <c r="S1209" s="15"/>
      <c r="T1209" s="15"/>
      <c r="U1209" s="15"/>
      <c r="V1209" s="15"/>
      <c r="W1209" s="15"/>
      <c r="X1209" s="15"/>
      <c r="Y1209" s="15"/>
      <c r="Z1209" s="15"/>
    </row>
    <row r="1210" spans="2:26" ht="14" customHeight="1" x14ac:dyDescent="0.25">
      <c r="B1210" s="80">
        <v>10</v>
      </c>
      <c r="C1210" s="110" t="s">
        <v>74</v>
      </c>
      <c r="D1210" s="114">
        <v>7.0000000000000007E-2</v>
      </c>
      <c r="E1210" s="116">
        <f t="shared" si="64"/>
        <v>7.1721311475409846E-3</v>
      </c>
      <c r="F1210" s="116"/>
      <c r="G1210" s="116"/>
      <c r="H1210" s="105">
        <v>9.76</v>
      </c>
      <c r="I1210" s="59"/>
      <c r="J1210" s="80">
        <v>10</v>
      </c>
      <c r="K1210" s="110" t="s">
        <v>566</v>
      </c>
      <c r="L1210" s="114">
        <v>0.4</v>
      </c>
      <c r="M1210" s="116">
        <f t="shared" si="65"/>
        <v>9.6641700893935738E-3</v>
      </c>
      <c r="N1210" s="105">
        <v>41.39</v>
      </c>
      <c r="P1210" s="15"/>
      <c r="Q1210" s="15"/>
      <c r="R1210" s="15"/>
      <c r="S1210" s="15"/>
      <c r="T1210" s="15"/>
      <c r="U1210" s="15"/>
      <c r="V1210" s="15"/>
      <c r="W1210" s="15"/>
      <c r="X1210" s="15"/>
      <c r="Y1210" s="15"/>
      <c r="Z1210" s="15"/>
    </row>
    <row r="1211" spans="2:26" ht="14" customHeight="1" x14ac:dyDescent="0.25">
      <c r="D1211" s="48"/>
      <c r="E1211" s="16"/>
      <c r="F1211" s="16"/>
      <c r="G1211" s="16"/>
      <c r="L1211" s="48"/>
      <c r="M1211" s="16"/>
      <c r="P1211" s="15"/>
      <c r="Q1211" s="15"/>
      <c r="R1211" s="15"/>
      <c r="S1211" s="15"/>
      <c r="T1211" s="15"/>
      <c r="U1211" s="15"/>
      <c r="V1211" s="15"/>
      <c r="W1211" s="15"/>
      <c r="X1211" s="15"/>
      <c r="Y1211" s="15"/>
      <c r="Z1211" s="15"/>
    </row>
    <row r="1212" spans="2:26" ht="14" customHeight="1" x14ac:dyDescent="0.25">
      <c r="D1212" s="48"/>
      <c r="E1212" s="16"/>
      <c r="F1212" s="16"/>
      <c r="G1212" s="16"/>
      <c r="L1212" s="48"/>
      <c r="M1212" s="16"/>
      <c r="O1212" s="49"/>
      <c r="P1212" s="15"/>
      <c r="Q1212" s="15"/>
      <c r="R1212" s="15"/>
      <c r="S1212" s="15"/>
      <c r="T1212" s="15"/>
      <c r="U1212" s="15"/>
      <c r="V1212" s="15"/>
      <c r="W1212" s="15"/>
      <c r="X1212" s="15"/>
      <c r="Y1212" s="15"/>
      <c r="Z1212" s="15"/>
    </row>
    <row r="1213" spans="2:26" ht="14" customHeight="1" x14ac:dyDescent="0.25">
      <c r="B1213" s="15" t="s">
        <v>617</v>
      </c>
      <c r="D1213" s="48"/>
      <c r="E1213" s="16"/>
      <c r="F1213" s="16"/>
      <c r="G1213" s="16"/>
      <c r="J1213" s="15" t="s">
        <v>618</v>
      </c>
      <c r="L1213" s="48"/>
      <c r="M1213" s="16"/>
      <c r="O1213" s="234"/>
      <c r="P1213" s="15"/>
      <c r="Q1213" s="15"/>
      <c r="R1213" s="15"/>
      <c r="S1213" s="15"/>
      <c r="T1213" s="15"/>
      <c r="U1213" s="15"/>
      <c r="V1213" s="15"/>
      <c r="W1213" s="15"/>
      <c r="X1213" s="15"/>
      <c r="Y1213" s="15"/>
      <c r="Z1213" s="15"/>
    </row>
    <row r="1214" spans="2:26" ht="14" customHeight="1" x14ac:dyDescent="0.25">
      <c r="B1214" s="83" t="s">
        <v>582</v>
      </c>
      <c r="C1214" s="85" t="s">
        <v>335</v>
      </c>
      <c r="D1214" s="87" t="s">
        <v>583</v>
      </c>
      <c r="E1214" s="107" t="s">
        <v>337</v>
      </c>
      <c r="F1214" s="107"/>
      <c r="G1214" s="107"/>
      <c r="H1214" s="108" t="s">
        <v>584</v>
      </c>
      <c r="I1214" s="59"/>
      <c r="J1214" s="83" t="s">
        <v>582</v>
      </c>
      <c r="K1214" s="85" t="s">
        <v>335</v>
      </c>
      <c r="L1214" s="87" t="s">
        <v>600</v>
      </c>
      <c r="M1214" s="107" t="s">
        <v>337</v>
      </c>
      <c r="N1214" s="108" t="s">
        <v>587</v>
      </c>
      <c r="O1214" s="234"/>
      <c r="P1214" s="15"/>
      <c r="Q1214" s="15"/>
      <c r="R1214" s="15"/>
      <c r="S1214" s="15"/>
      <c r="T1214" s="15"/>
      <c r="U1214" s="15"/>
      <c r="V1214" s="15"/>
      <c r="W1214" s="15"/>
      <c r="X1214" s="15"/>
      <c r="Y1214" s="15"/>
      <c r="Z1214" s="15"/>
    </row>
    <row r="1215" spans="2:26" ht="14" customHeight="1" x14ac:dyDescent="0.25">
      <c r="B1215" s="78">
        <v>1</v>
      </c>
      <c r="C1215" s="9" t="s">
        <v>68</v>
      </c>
      <c r="D1215" s="112">
        <v>3.82</v>
      </c>
      <c r="E1215" s="45">
        <f t="shared" ref="E1215:E1224" si="66">D1215/H1215</f>
        <v>0.45504901902390793</v>
      </c>
      <c r="F1215" s="45"/>
      <c r="G1215" s="45"/>
      <c r="H1215" s="104">
        <v>8.3947000000000003</v>
      </c>
      <c r="I1215" s="59"/>
      <c r="J1215" s="78">
        <v>1</v>
      </c>
      <c r="K1215" s="9" t="s">
        <v>68</v>
      </c>
      <c r="L1215" s="112">
        <v>16.04</v>
      </c>
      <c r="M1215" s="45">
        <f t="shared" ref="M1215:M1224" si="67">L1215/N1215</f>
        <v>0.50709265822144522</v>
      </c>
      <c r="N1215" s="104">
        <v>31.6313</v>
      </c>
      <c r="O1215" s="234"/>
      <c r="P1215" s="15"/>
      <c r="Q1215" s="15"/>
      <c r="R1215" s="15"/>
      <c r="S1215" s="15"/>
      <c r="T1215" s="15"/>
      <c r="U1215" s="15"/>
      <c r="V1215" s="15"/>
      <c r="W1215" s="15"/>
      <c r="X1215" s="15"/>
      <c r="Y1215" s="15"/>
      <c r="Z1215" s="15"/>
    </row>
    <row r="1216" spans="2:26" ht="14" customHeight="1" x14ac:dyDescent="0.25">
      <c r="B1216" s="78">
        <v>2</v>
      </c>
      <c r="C1216" s="9" t="s">
        <v>69</v>
      </c>
      <c r="D1216" s="112">
        <v>1.23</v>
      </c>
      <c r="E1216" s="45">
        <f t="shared" si="66"/>
        <v>0.14652101921450439</v>
      </c>
      <c r="F1216" s="45"/>
      <c r="G1216" s="45"/>
      <c r="H1216" s="104">
        <v>8.3947000000000003</v>
      </c>
      <c r="I1216" s="59"/>
      <c r="J1216" s="78">
        <v>2</v>
      </c>
      <c r="K1216" s="9" t="s">
        <v>69</v>
      </c>
      <c r="L1216" s="112">
        <v>4.2300000000000004</v>
      </c>
      <c r="M1216" s="45">
        <f t="shared" si="67"/>
        <v>0.13372830076538114</v>
      </c>
      <c r="N1216" s="104">
        <v>31.6313</v>
      </c>
      <c r="O1216" s="234"/>
      <c r="P1216" s="15"/>
      <c r="Q1216" s="15"/>
      <c r="R1216" s="15"/>
      <c r="S1216" s="15"/>
      <c r="T1216" s="15"/>
      <c r="U1216" s="15"/>
      <c r="V1216" s="15"/>
      <c r="W1216" s="15"/>
      <c r="X1216" s="15"/>
      <c r="Y1216" s="15"/>
      <c r="Z1216" s="15"/>
    </row>
    <row r="1217" spans="2:26" ht="14" customHeight="1" x14ac:dyDescent="0.25">
      <c r="B1217" s="78">
        <v>3</v>
      </c>
      <c r="C1217" s="9" t="s">
        <v>595</v>
      </c>
      <c r="D1217" s="112">
        <v>0.78</v>
      </c>
      <c r="E1217" s="45">
        <f t="shared" si="66"/>
        <v>9.2915768282368638E-2</v>
      </c>
      <c r="F1217" s="45"/>
      <c r="G1217" s="45"/>
      <c r="H1217" s="104">
        <v>8.3947000000000003</v>
      </c>
      <c r="I1217" s="59"/>
      <c r="J1217" s="78">
        <v>3</v>
      </c>
      <c r="K1217" s="9" t="s">
        <v>601</v>
      </c>
      <c r="L1217" s="112">
        <v>2.61</v>
      </c>
      <c r="M1217" s="45">
        <f t="shared" si="67"/>
        <v>8.2513206855235166E-2</v>
      </c>
      <c r="N1217" s="104">
        <v>31.6313</v>
      </c>
      <c r="O1217" s="234"/>
      <c r="P1217" s="15"/>
      <c r="Q1217" s="15"/>
      <c r="R1217" s="15"/>
      <c r="S1217" s="15"/>
      <c r="T1217" s="15"/>
      <c r="U1217" s="15"/>
      <c r="V1217" s="15"/>
      <c r="W1217" s="15"/>
      <c r="X1217" s="15"/>
      <c r="Y1217" s="15"/>
      <c r="Z1217" s="15"/>
    </row>
    <row r="1218" spans="2:26" ht="14" customHeight="1" x14ac:dyDescent="0.25">
      <c r="B1218" s="78">
        <v>4</v>
      </c>
      <c r="C1218" s="9" t="s">
        <v>601</v>
      </c>
      <c r="D1218" s="112">
        <v>0.7</v>
      </c>
      <c r="E1218" s="45">
        <f t="shared" si="66"/>
        <v>8.3385945894433378E-2</v>
      </c>
      <c r="F1218" s="45"/>
      <c r="G1218" s="45"/>
      <c r="H1218" s="104">
        <v>8.3947000000000003</v>
      </c>
      <c r="I1218" s="59"/>
      <c r="J1218" s="78">
        <v>4</v>
      </c>
      <c r="K1218" s="9" t="s">
        <v>595</v>
      </c>
      <c r="L1218" s="112">
        <v>2.19</v>
      </c>
      <c r="M1218" s="45">
        <f t="shared" si="67"/>
        <v>6.9235219545197318E-2</v>
      </c>
      <c r="N1218" s="104">
        <v>31.6313</v>
      </c>
      <c r="O1218" s="234"/>
      <c r="P1218" s="15"/>
      <c r="Q1218" s="15"/>
      <c r="R1218" s="15"/>
      <c r="S1218" s="15"/>
      <c r="T1218" s="15"/>
      <c r="U1218" s="15"/>
      <c r="V1218" s="15"/>
      <c r="W1218" s="15"/>
      <c r="X1218" s="15"/>
      <c r="Y1218" s="15"/>
      <c r="Z1218" s="15"/>
    </row>
    <row r="1219" spans="2:26" ht="14" customHeight="1" x14ac:dyDescent="0.25">
      <c r="B1219" s="78">
        <v>5</v>
      </c>
      <c r="C1219" s="9" t="s">
        <v>70</v>
      </c>
      <c r="D1219" s="112">
        <v>0.59</v>
      </c>
      <c r="E1219" s="45">
        <f t="shared" si="66"/>
        <v>7.0282440111022429E-2</v>
      </c>
      <c r="F1219" s="45"/>
      <c r="G1219" s="45"/>
      <c r="H1219" s="104">
        <v>8.3947000000000003</v>
      </c>
      <c r="I1219" s="59"/>
      <c r="J1219" s="78">
        <v>5</v>
      </c>
      <c r="K1219" s="9" t="s">
        <v>70</v>
      </c>
      <c r="L1219" s="112">
        <v>1.64</v>
      </c>
      <c r="M1219" s="45">
        <f t="shared" si="67"/>
        <v>5.1847379020147764E-2</v>
      </c>
      <c r="N1219" s="104">
        <v>31.6313</v>
      </c>
      <c r="O1219" s="234"/>
      <c r="P1219" s="15"/>
      <c r="Q1219" s="15"/>
      <c r="R1219" s="15"/>
      <c r="S1219" s="15"/>
      <c r="T1219" s="15"/>
      <c r="U1219" s="15"/>
      <c r="V1219" s="15"/>
      <c r="W1219" s="15"/>
      <c r="X1219" s="15"/>
      <c r="Y1219" s="15"/>
      <c r="Z1219" s="15"/>
    </row>
    <row r="1220" spans="2:26" ht="14" customHeight="1" x14ac:dyDescent="0.25">
      <c r="B1220" s="78">
        <v>6</v>
      </c>
      <c r="C1220" s="9" t="s">
        <v>73</v>
      </c>
      <c r="D1220" s="112">
        <v>0.22</v>
      </c>
      <c r="E1220" s="45">
        <f t="shared" si="66"/>
        <v>2.6207011566821922E-2</v>
      </c>
      <c r="F1220" s="45"/>
      <c r="G1220" s="45"/>
      <c r="H1220" s="104">
        <v>8.3947000000000003</v>
      </c>
      <c r="I1220" s="59"/>
      <c r="J1220" s="78">
        <v>6</v>
      </c>
      <c r="K1220" s="9" t="s">
        <v>357</v>
      </c>
      <c r="L1220" s="112">
        <v>0.61</v>
      </c>
      <c r="M1220" s="45">
        <f t="shared" si="67"/>
        <v>1.9284695855054962E-2</v>
      </c>
      <c r="N1220" s="104">
        <v>31.6313</v>
      </c>
      <c r="O1220" s="234"/>
      <c r="P1220" s="15"/>
      <c r="Q1220" s="15"/>
      <c r="R1220" s="15"/>
      <c r="S1220" s="15"/>
      <c r="T1220" s="15"/>
      <c r="U1220" s="15"/>
      <c r="V1220" s="15"/>
      <c r="W1220" s="15"/>
      <c r="X1220" s="15"/>
      <c r="Y1220" s="15"/>
      <c r="Z1220" s="15"/>
    </row>
    <row r="1221" spans="2:26" ht="14" customHeight="1" x14ac:dyDescent="0.25">
      <c r="B1221" s="78">
        <v>7</v>
      </c>
      <c r="C1221" s="9" t="s">
        <v>590</v>
      </c>
      <c r="D1221" s="112">
        <v>0.12</v>
      </c>
      <c r="E1221" s="45">
        <f t="shared" si="66"/>
        <v>1.4294733581902867E-2</v>
      </c>
      <c r="F1221" s="45"/>
      <c r="G1221" s="45"/>
      <c r="H1221" s="104">
        <v>8.3947000000000003</v>
      </c>
      <c r="I1221" s="59"/>
      <c r="J1221" s="78">
        <v>7</v>
      </c>
      <c r="K1221" s="9" t="s">
        <v>73</v>
      </c>
      <c r="L1221" s="112">
        <v>0.61</v>
      </c>
      <c r="M1221" s="45">
        <f t="shared" si="67"/>
        <v>1.9284695855054962E-2</v>
      </c>
      <c r="N1221" s="104">
        <v>31.6313</v>
      </c>
      <c r="O1221" s="234"/>
      <c r="P1221" s="15"/>
      <c r="Q1221" s="15"/>
      <c r="R1221" s="15"/>
      <c r="S1221" s="15"/>
      <c r="T1221" s="15"/>
      <c r="U1221" s="15"/>
      <c r="V1221" s="15"/>
      <c r="W1221" s="15"/>
      <c r="X1221" s="15"/>
      <c r="Y1221" s="15"/>
      <c r="Z1221" s="15"/>
    </row>
    <row r="1222" spans="2:26" ht="14" customHeight="1" x14ac:dyDescent="0.25">
      <c r="B1222" s="78">
        <v>8</v>
      </c>
      <c r="C1222" s="9" t="s">
        <v>566</v>
      </c>
      <c r="D1222" s="112">
        <v>0.11</v>
      </c>
      <c r="E1222" s="45">
        <f t="shared" si="66"/>
        <v>1.3103505783410961E-2</v>
      </c>
      <c r="F1222" s="45"/>
      <c r="G1222" s="45"/>
      <c r="H1222" s="104">
        <v>8.3947000000000003</v>
      </c>
      <c r="I1222" s="59"/>
      <c r="J1222" s="78">
        <v>8</v>
      </c>
      <c r="K1222" s="9" t="s">
        <v>74</v>
      </c>
      <c r="L1222" s="112">
        <v>0.56999999999999995</v>
      </c>
      <c r="M1222" s="45">
        <f t="shared" si="67"/>
        <v>1.8020125635051357E-2</v>
      </c>
      <c r="N1222" s="104">
        <v>31.6313</v>
      </c>
      <c r="O1222" s="234"/>
      <c r="P1222" s="15"/>
      <c r="Q1222" s="15"/>
      <c r="R1222" s="15"/>
      <c r="S1222" s="15"/>
      <c r="T1222" s="15"/>
      <c r="U1222" s="15"/>
      <c r="V1222" s="15"/>
      <c r="W1222" s="15"/>
      <c r="X1222" s="15"/>
      <c r="Y1222" s="15"/>
      <c r="Z1222" s="15"/>
    </row>
    <row r="1223" spans="2:26" ht="14" customHeight="1" x14ac:dyDescent="0.25">
      <c r="B1223" s="78">
        <v>9</v>
      </c>
      <c r="C1223" s="9" t="s">
        <v>619</v>
      </c>
      <c r="D1223" s="112">
        <v>0.11</v>
      </c>
      <c r="E1223" s="45">
        <f t="shared" si="66"/>
        <v>1.3103505783410961E-2</v>
      </c>
      <c r="F1223" s="45"/>
      <c r="G1223" s="45"/>
      <c r="H1223" s="104">
        <v>8.3947000000000003</v>
      </c>
      <c r="I1223" s="59"/>
      <c r="J1223" s="78">
        <v>9</v>
      </c>
      <c r="K1223" s="9" t="s">
        <v>590</v>
      </c>
      <c r="L1223" s="112">
        <v>0.35</v>
      </c>
      <c r="M1223" s="45">
        <f t="shared" si="67"/>
        <v>1.1064989425031535E-2</v>
      </c>
      <c r="N1223" s="104">
        <v>31.6313</v>
      </c>
      <c r="P1223" s="15"/>
      <c r="Q1223" s="15"/>
      <c r="R1223" s="15"/>
      <c r="S1223" s="15"/>
      <c r="T1223" s="15"/>
      <c r="U1223" s="15"/>
      <c r="V1223" s="15"/>
      <c r="W1223" s="15"/>
      <c r="X1223" s="15"/>
      <c r="Y1223" s="15"/>
      <c r="Z1223" s="15"/>
    </row>
    <row r="1224" spans="2:26" ht="14" customHeight="1" x14ac:dyDescent="0.25">
      <c r="B1224" s="80">
        <v>10</v>
      </c>
      <c r="C1224" s="110" t="s">
        <v>357</v>
      </c>
      <c r="D1224" s="114">
        <v>0.09</v>
      </c>
      <c r="E1224" s="116">
        <f t="shared" si="66"/>
        <v>1.072705601907032E-2</v>
      </c>
      <c r="F1224" s="116"/>
      <c r="G1224" s="116"/>
      <c r="H1224" s="105">
        <v>8.39</v>
      </c>
      <c r="I1224" s="59"/>
      <c r="J1224" s="80">
        <v>10</v>
      </c>
      <c r="K1224" s="110" t="s">
        <v>566</v>
      </c>
      <c r="L1224" s="114">
        <v>0.34</v>
      </c>
      <c r="M1224" s="116">
        <f t="shared" si="67"/>
        <v>1.0749288650015809E-2</v>
      </c>
      <c r="N1224" s="105">
        <v>31.63</v>
      </c>
      <c r="P1224" s="15"/>
      <c r="Q1224" s="15"/>
      <c r="R1224" s="15"/>
      <c r="S1224" s="15"/>
      <c r="T1224" s="15"/>
      <c r="U1224" s="15"/>
      <c r="V1224" s="15"/>
      <c r="W1224" s="15"/>
      <c r="X1224" s="15"/>
      <c r="Y1224" s="15"/>
      <c r="Z1224" s="15"/>
    </row>
    <row r="1225" spans="2:26" ht="14" customHeight="1" x14ac:dyDescent="0.25">
      <c r="D1225" s="48"/>
      <c r="E1225" s="16"/>
      <c r="F1225" s="16"/>
      <c r="G1225" s="16"/>
      <c r="L1225" s="48"/>
      <c r="M1225" s="16"/>
      <c r="P1225" s="15"/>
      <c r="Q1225" s="15"/>
      <c r="R1225" s="15"/>
      <c r="S1225" s="15"/>
      <c r="T1225" s="15"/>
      <c r="U1225" s="15"/>
      <c r="V1225" s="15"/>
      <c r="W1225" s="15"/>
      <c r="X1225" s="15"/>
      <c r="Y1225" s="15"/>
      <c r="Z1225" s="15"/>
    </row>
    <row r="1226" spans="2:26" ht="14" customHeight="1" x14ac:dyDescent="0.25">
      <c r="D1226" s="48"/>
      <c r="E1226" s="16"/>
      <c r="F1226" s="16"/>
      <c r="G1226" s="16"/>
      <c r="L1226" s="48"/>
      <c r="M1226" s="16"/>
      <c r="O1226" s="49"/>
      <c r="P1226" s="15"/>
      <c r="Q1226" s="15"/>
      <c r="R1226" s="15"/>
      <c r="S1226" s="15"/>
      <c r="T1226" s="15"/>
      <c r="U1226" s="15"/>
      <c r="V1226" s="15"/>
      <c r="W1226" s="15"/>
      <c r="X1226" s="15"/>
      <c r="Y1226" s="15"/>
      <c r="Z1226" s="15"/>
    </row>
    <row r="1227" spans="2:26" ht="14" customHeight="1" x14ac:dyDescent="0.25">
      <c r="D1227" s="48"/>
      <c r="E1227" s="16"/>
      <c r="F1227" s="16"/>
      <c r="G1227" s="16"/>
      <c r="L1227" s="48"/>
      <c r="M1227" s="16"/>
      <c r="O1227" s="234"/>
      <c r="P1227" s="15"/>
      <c r="Q1227" s="15"/>
      <c r="R1227" s="15"/>
      <c r="S1227" s="15"/>
      <c r="T1227" s="15"/>
      <c r="U1227" s="15"/>
      <c r="V1227" s="15"/>
      <c r="W1227" s="15"/>
      <c r="X1227" s="15"/>
      <c r="Y1227" s="15"/>
      <c r="Z1227" s="15"/>
    </row>
    <row r="1228" spans="2:26" ht="14" customHeight="1" x14ac:dyDescent="0.25">
      <c r="B1228" s="15" t="s">
        <v>620</v>
      </c>
      <c r="D1228" s="48"/>
      <c r="E1228" s="16"/>
      <c r="F1228" s="16"/>
      <c r="G1228" s="16"/>
      <c r="J1228" s="15" t="s">
        <v>621</v>
      </c>
      <c r="L1228" s="48"/>
      <c r="M1228" s="16"/>
      <c r="O1228" s="234"/>
      <c r="P1228" s="15"/>
      <c r="Q1228" s="15"/>
      <c r="R1228" s="15"/>
      <c r="S1228" s="15"/>
      <c r="T1228" s="15"/>
      <c r="U1228" s="15"/>
      <c r="V1228" s="15"/>
      <c r="W1228" s="15"/>
      <c r="X1228" s="15"/>
      <c r="Y1228" s="15"/>
      <c r="Z1228" s="15"/>
    </row>
    <row r="1229" spans="2:26" ht="14" customHeight="1" x14ac:dyDescent="0.25">
      <c r="B1229" s="83" t="s">
        <v>582</v>
      </c>
      <c r="C1229" s="85" t="s">
        <v>335</v>
      </c>
      <c r="D1229" s="87" t="s">
        <v>583</v>
      </c>
      <c r="E1229" s="107" t="s">
        <v>337</v>
      </c>
      <c r="F1229" s="107"/>
      <c r="G1229" s="107"/>
      <c r="H1229" s="108" t="s">
        <v>584</v>
      </c>
      <c r="I1229" s="59"/>
      <c r="J1229" s="83" t="s">
        <v>582</v>
      </c>
      <c r="K1229" s="85" t="s">
        <v>335</v>
      </c>
      <c r="L1229" s="87" t="s">
        <v>600</v>
      </c>
      <c r="M1229" s="107" t="s">
        <v>337</v>
      </c>
      <c r="N1229" s="108" t="s">
        <v>587</v>
      </c>
      <c r="O1229" s="234"/>
      <c r="P1229" s="15"/>
      <c r="Q1229" s="15"/>
      <c r="R1229" s="15"/>
      <c r="S1229" s="15"/>
      <c r="T1229" s="15"/>
      <c r="U1229" s="15"/>
      <c r="V1229" s="15"/>
      <c r="W1229" s="15"/>
      <c r="X1229" s="15"/>
      <c r="Y1229" s="15"/>
      <c r="Z1229" s="15"/>
    </row>
    <row r="1230" spans="2:26" ht="14" customHeight="1" x14ac:dyDescent="0.25">
      <c r="B1230" s="78">
        <v>1</v>
      </c>
      <c r="C1230" s="9" t="s">
        <v>68</v>
      </c>
      <c r="D1230" s="112">
        <v>4.5199999999999996</v>
      </c>
      <c r="E1230" s="45">
        <f t="shared" ref="E1230:E1239" si="68">D1230/H1230</f>
        <v>0.50241760684710723</v>
      </c>
      <c r="F1230" s="45"/>
      <c r="G1230" s="45"/>
      <c r="H1230" s="104">
        <v>8.9964999999999993</v>
      </c>
      <c r="I1230" s="59"/>
      <c r="J1230" s="78">
        <v>1</v>
      </c>
      <c r="K1230" s="9" t="s">
        <v>68</v>
      </c>
      <c r="L1230" s="112">
        <v>12.22</v>
      </c>
      <c r="M1230" s="45">
        <f t="shared" ref="M1230:M1239" si="69">L1230/N1230</f>
        <v>0.52589223082451475</v>
      </c>
      <c r="N1230" s="104">
        <v>23.236699999999999</v>
      </c>
      <c r="O1230" s="234"/>
      <c r="P1230" s="15"/>
      <c r="Q1230" s="15"/>
      <c r="R1230" s="15"/>
      <c r="S1230" s="15"/>
      <c r="T1230" s="15"/>
      <c r="U1230" s="15"/>
      <c r="V1230" s="15"/>
      <c r="W1230" s="15"/>
      <c r="X1230" s="15"/>
      <c r="Y1230" s="15"/>
      <c r="Z1230" s="15"/>
    </row>
    <row r="1231" spans="2:26" ht="14" customHeight="1" x14ac:dyDescent="0.25">
      <c r="B1231" s="78">
        <v>2</v>
      </c>
      <c r="C1231" s="9" t="s">
        <v>69</v>
      </c>
      <c r="D1231" s="112">
        <v>1.1200000000000001</v>
      </c>
      <c r="E1231" s="45">
        <f t="shared" si="68"/>
        <v>0.1244928583337965</v>
      </c>
      <c r="F1231" s="45"/>
      <c r="G1231" s="45"/>
      <c r="H1231" s="104">
        <v>8.9964999999999993</v>
      </c>
      <c r="I1231" s="59"/>
      <c r="J1231" s="78">
        <v>2</v>
      </c>
      <c r="K1231" s="9" t="s">
        <v>69</v>
      </c>
      <c r="L1231" s="112">
        <v>3</v>
      </c>
      <c r="M1231" s="45">
        <f t="shared" si="69"/>
        <v>0.12910611231371064</v>
      </c>
      <c r="N1231" s="104">
        <v>23.236699999999999</v>
      </c>
      <c r="O1231" s="234"/>
      <c r="P1231" s="15"/>
      <c r="Q1231" s="15"/>
      <c r="R1231" s="15"/>
      <c r="S1231" s="15"/>
      <c r="T1231" s="15"/>
      <c r="U1231" s="15"/>
      <c r="V1231" s="15"/>
      <c r="W1231" s="15"/>
      <c r="X1231" s="15"/>
      <c r="Y1231" s="15"/>
      <c r="Z1231" s="15"/>
    </row>
    <row r="1232" spans="2:26" ht="14" customHeight="1" x14ac:dyDescent="0.25">
      <c r="B1232" s="78">
        <v>3</v>
      </c>
      <c r="C1232" s="9" t="s">
        <v>601</v>
      </c>
      <c r="D1232" s="112">
        <v>0.95</v>
      </c>
      <c r="E1232" s="45">
        <f t="shared" si="68"/>
        <v>0.10559662090813095</v>
      </c>
      <c r="F1232" s="45"/>
      <c r="G1232" s="45"/>
      <c r="H1232" s="104">
        <v>8.9964999999999993</v>
      </c>
      <c r="I1232" s="59"/>
      <c r="J1232" s="78">
        <v>3</v>
      </c>
      <c r="K1232" s="9" t="s">
        <v>601</v>
      </c>
      <c r="L1232" s="112">
        <v>1.91</v>
      </c>
      <c r="M1232" s="45">
        <f t="shared" si="69"/>
        <v>8.2197558173062443E-2</v>
      </c>
      <c r="N1232" s="104">
        <v>23.236699999999999</v>
      </c>
      <c r="O1232" s="234"/>
      <c r="P1232" s="15"/>
      <c r="Q1232" s="15"/>
      <c r="R1232" s="15"/>
      <c r="S1232" s="15"/>
      <c r="T1232" s="15"/>
      <c r="U1232" s="15"/>
      <c r="V1232" s="15"/>
      <c r="W1232" s="15"/>
      <c r="X1232" s="15"/>
      <c r="Y1232" s="15"/>
      <c r="Z1232" s="15"/>
    </row>
    <row r="1233" spans="2:26" ht="14" customHeight="1" x14ac:dyDescent="0.25">
      <c r="B1233" s="78">
        <v>4</v>
      </c>
      <c r="C1233" s="9" t="s">
        <v>595</v>
      </c>
      <c r="D1233" s="112">
        <v>0.57999999999999996</v>
      </c>
      <c r="E1233" s="45">
        <f t="shared" si="68"/>
        <v>6.4469515922858892E-2</v>
      </c>
      <c r="F1233" s="45"/>
      <c r="G1233" s="45"/>
      <c r="H1233" s="104">
        <v>8.9964999999999993</v>
      </c>
      <c r="I1233" s="59"/>
      <c r="J1233" s="78">
        <v>4</v>
      </c>
      <c r="K1233" s="9" t="s">
        <v>595</v>
      </c>
      <c r="L1233" s="112">
        <v>1.41</v>
      </c>
      <c r="M1233" s="45">
        <f t="shared" si="69"/>
        <v>6.0679872787444002E-2</v>
      </c>
      <c r="N1233" s="104">
        <v>23.236699999999999</v>
      </c>
      <c r="O1233" s="234"/>
      <c r="P1233" s="15"/>
      <c r="Q1233" s="15"/>
      <c r="R1233" s="15"/>
      <c r="S1233" s="15"/>
      <c r="T1233" s="15"/>
      <c r="U1233" s="15"/>
      <c r="V1233" s="15"/>
      <c r="W1233" s="15"/>
      <c r="X1233" s="15"/>
      <c r="Y1233" s="15"/>
      <c r="Z1233" s="15"/>
    </row>
    <row r="1234" spans="2:26" ht="14" customHeight="1" x14ac:dyDescent="0.25">
      <c r="B1234" s="78">
        <v>5</v>
      </c>
      <c r="C1234" s="9" t="s">
        <v>70</v>
      </c>
      <c r="D1234" s="112">
        <v>0.45</v>
      </c>
      <c r="E1234" s="45">
        <f t="shared" si="68"/>
        <v>5.0019452009114659E-2</v>
      </c>
      <c r="F1234" s="45"/>
      <c r="G1234" s="45"/>
      <c r="H1234" s="104">
        <v>8.9964999999999993</v>
      </c>
      <c r="I1234" s="59"/>
      <c r="J1234" s="78">
        <v>5</v>
      </c>
      <c r="K1234" s="9" t="s">
        <v>70</v>
      </c>
      <c r="L1234" s="112">
        <v>1.05</v>
      </c>
      <c r="M1234" s="45">
        <f t="shared" si="69"/>
        <v>4.518713930979873E-2</v>
      </c>
      <c r="N1234" s="104">
        <v>23.236699999999999</v>
      </c>
      <c r="O1234" s="234"/>
      <c r="P1234" s="15"/>
      <c r="Q1234" s="15"/>
      <c r="R1234" s="15"/>
      <c r="S1234" s="15"/>
      <c r="T1234" s="15"/>
      <c r="U1234" s="15"/>
      <c r="V1234" s="15"/>
      <c r="W1234" s="15"/>
      <c r="X1234" s="15"/>
      <c r="Y1234" s="15"/>
      <c r="Z1234" s="15"/>
    </row>
    <row r="1235" spans="2:26" ht="14" customHeight="1" x14ac:dyDescent="0.25">
      <c r="B1235" s="78">
        <v>6</v>
      </c>
      <c r="C1235" s="9" t="s">
        <v>73</v>
      </c>
      <c r="D1235" s="112">
        <v>0.23</v>
      </c>
      <c r="E1235" s="45">
        <f t="shared" si="68"/>
        <v>2.5565497693547493E-2</v>
      </c>
      <c r="F1235" s="45"/>
      <c r="G1235" s="45"/>
      <c r="H1235" s="104">
        <v>8.9964999999999993</v>
      </c>
      <c r="I1235" s="59"/>
      <c r="J1235" s="78">
        <v>6</v>
      </c>
      <c r="K1235" s="9" t="s">
        <v>357</v>
      </c>
      <c r="L1235" s="112">
        <v>0.52</v>
      </c>
      <c r="M1235" s="45">
        <f t="shared" si="69"/>
        <v>2.237839280104318E-2</v>
      </c>
      <c r="N1235" s="104">
        <v>23.236699999999999</v>
      </c>
      <c r="O1235" s="234"/>
      <c r="P1235" s="15"/>
      <c r="Q1235" s="15"/>
      <c r="R1235" s="15"/>
      <c r="S1235" s="15"/>
      <c r="T1235" s="15"/>
      <c r="U1235" s="15"/>
      <c r="V1235" s="15"/>
      <c r="W1235" s="15"/>
      <c r="X1235" s="15"/>
      <c r="Y1235" s="15"/>
      <c r="Z1235" s="15"/>
    </row>
    <row r="1236" spans="2:26" ht="14" customHeight="1" x14ac:dyDescent="0.25">
      <c r="B1236" s="78">
        <v>7</v>
      </c>
      <c r="C1236" s="9" t="s">
        <v>74</v>
      </c>
      <c r="D1236" s="112">
        <v>0.18</v>
      </c>
      <c r="E1236" s="45">
        <f t="shared" si="68"/>
        <v>2.0007780803645864E-2</v>
      </c>
      <c r="F1236" s="45"/>
      <c r="G1236" s="45"/>
      <c r="H1236" s="104">
        <v>8.9964999999999993</v>
      </c>
      <c r="I1236" s="59"/>
      <c r="J1236" s="78">
        <v>7</v>
      </c>
      <c r="K1236" s="9" t="s">
        <v>74</v>
      </c>
      <c r="L1236" s="112">
        <v>0.48</v>
      </c>
      <c r="M1236" s="45">
        <f t="shared" si="69"/>
        <v>2.0656977970193703E-2</v>
      </c>
      <c r="N1236" s="104">
        <v>23.236699999999999</v>
      </c>
      <c r="O1236" s="234"/>
      <c r="P1236" s="15"/>
      <c r="Q1236" s="15"/>
      <c r="R1236" s="15"/>
      <c r="S1236" s="15"/>
      <c r="T1236" s="15"/>
      <c r="U1236" s="15"/>
      <c r="V1236" s="15"/>
      <c r="W1236" s="15"/>
      <c r="X1236" s="15"/>
      <c r="Y1236" s="15"/>
      <c r="Z1236" s="15"/>
    </row>
    <row r="1237" spans="2:26" ht="14" customHeight="1" x14ac:dyDescent="0.25">
      <c r="B1237" s="78">
        <v>8</v>
      </c>
      <c r="C1237" s="9" t="s">
        <v>619</v>
      </c>
      <c r="D1237" s="112">
        <v>0.1</v>
      </c>
      <c r="E1237" s="45">
        <f t="shared" si="68"/>
        <v>1.1115433779803258E-2</v>
      </c>
      <c r="F1237" s="45"/>
      <c r="G1237" s="45"/>
      <c r="H1237" s="104">
        <v>8.9964999999999993</v>
      </c>
      <c r="I1237" s="59"/>
      <c r="J1237" s="78">
        <v>8</v>
      </c>
      <c r="K1237" s="9" t="s">
        <v>73</v>
      </c>
      <c r="L1237" s="112">
        <v>0.39</v>
      </c>
      <c r="M1237" s="45">
        <f t="shared" si="69"/>
        <v>1.6783794600782383E-2</v>
      </c>
      <c r="N1237" s="104">
        <v>23.236699999999999</v>
      </c>
      <c r="P1237" s="15"/>
      <c r="Q1237" s="15"/>
      <c r="R1237" s="15"/>
      <c r="S1237" s="15"/>
      <c r="T1237" s="15"/>
      <c r="U1237" s="15"/>
      <c r="V1237" s="15"/>
      <c r="W1237" s="15"/>
      <c r="X1237" s="15"/>
      <c r="Y1237" s="15"/>
      <c r="Z1237" s="15"/>
    </row>
    <row r="1238" spans="2:26" ht="14" customHeight="1" x14ac:dyDescent="0.25">
      <c r="B1238" s="78">
        <v>9</v>
      </c>
      <c r="C1238" s="9" t="s">
        <v>357</v>
      </c>
      <c r="D1238" s="112">
        <v>0.1</v>
      </c>
      <c r="E1238" s="45">
        <f t="shared" si="68"/>
        <v>1.1115433779803258E-2</v>
      </c>
      <c r="F1238" s="45"/>
      <c r="G1238" s="45"/>
      <c r="H1238" s="104">
        <v>8.9964999999999993</v>
      </c>
      <c r="I1238" s="59"/>
      <c r="J1238" s="78">
        <v>9</v>
      </c>
      <c r="K1238" s="9" t="s">
        <v>509</v>
      </c>
      <c r="L1238" s="112">
        <v>0.25</v>
      </c>
      <c r="M1238" s="45">
        <f t="shared" si="69"/>
        <v>1.0758842692809221E-2</v>
      </c>
      <c r="N1238" s="104">
        <v>23.236699999999999</v>
      </c>
      <c r="P1238" s="15"/>
      <c r="Q1238" s="15"/>
      <c r="R1238" s="15"/>
      <c r="S1238" s="15"/>
      <c r="T1238" s="15"/>
      <c r="U1238" s="15"/>
      <c r="V1238" s="15"/>
      <c r="W1238" s="15"/>
      <c r="X1238" s="15"/>
      <c r="Y1238" s="15"/>
      <c r="Z1238" s="15"/>
    </row>
    <row r="1239" spans="2:26" ht="14" customHeight="1" x14ac:dyDescent="0.25">
      <c r="B1239" s="80">
        <v>10</v>
      </c>
      <c r="C1239" s="110" t="s">
        <v>622</v>
      </c>
      <c r="D1239" s="114">
        <v>0.1</v>
      </c>
      <c r="E1239" s="116">
        <f t="shared" si="68"/>
        <v>1.1111111111111112E-2</v>
      </c>
      <c r="F1239" s="116"/>
      <c r="G1239" s="116"/>
      <c r="H1239" s="105">
        <v>9</v>
      </c>
      <c r="I1239" s="59"/>
      <c r="J1239" s="80">
        <v>10</v>
      </c>
      <c r="K1239" s="110" t="s">
        <v>566</v>
      </c>
      <c r="L1239" s="114">
        <v>0.23</v>
      </c>
      <c r="M1239" s="116">
        <f t="shared" si="69"/>
        <v>9.8967297762478489E-3</v>
      </c>
      <c r="N1239" s="105">
        <v>23.24</v>
      </c>
      <c r="P1239" s="15"/>
      <c r="Q1239" s="15"/>
      <c r="R1239" s="15"/>
      <c r="S1239" s="15"/>
      <c r="T1239" s="15"/>
      <c r="U1239" s="15"/>
      <c r="V1239" s="15"/>
      <c r="W1239" s="15"/>
      <c r="X1239" s="15"/>
      <c r="Y1239" s="15"/>
      <c r="Z1239" s="15"/>
    </row>
    <row r="1240" spans="2:26" ht="14" customHeight="1" x14ac:dyDescent="0.25">
      <c r="D1240" s="48"/>
      <c r="E1240" s="16"/>
      <c r="F1240" s="16"/>
      <c r="G1240" s="16"/>
      <c r="L1240" s="48"/>
      <c r="M1240" s="16"/>
      <c r="P1240" s="15"/>
      <c r="Q1240" s="15"/>
      <c r="R1240" s="15"/>
      <c r="S1240" s="15"/>
      <c r="T1240" s="15"/>
      <c r="U1240" s="15"/>
      <c r="V1240" s="15"/>
      <c r="W1240" s="15"/>
      <c r="X1240" s="15"/>
      <c r="Y1240" s="15"/>
      <c r="Z1240" s="15"/>
    </row>
    <row r="1241" spans="2:26" ht="14" customHeight="1" x14ac:dyDescent="0.25">
      <c r="D1241" s="48"/>
      <c r="E1241" s="16"/>
      <c r="F1241" s="16"/>
      <c r="G1241" s="16"/>
      <c r="L1241" s="48"/>
      <c r="M1241" s="16"/>
      <c r="P1241" s="15"/>
      <c r="Q1241" s="15"/>
      <c r="R1241" s="15"/>
      <c r="S1241" s="15"/>
      <c r="T1241" s="15"/>
      <c r="U1241" s="15"/>
      <c r="V1241" s="15"/>
      <c r="W1241" s="15"/>
      <c r="X1241" s="15"/>
      <c r="Y1241" s="15"/>
      <c r="Z1241" s="15"/>
    </row>
    <row r="1242" spans="2:26" ht="14" customHeight="1" x14ac:dyDescent="0.25">
      <c r="B1242" s="15" t="s">
        <v>623</v>
      </c>
      <c r="D1242" s="48"/>
      <c r="E1242" s="16"/>
      <c r="F1242" s="16"/>
      <c r="G1242" s="16"/>
      <c r="J1242" s="15" t="s">
        <v>624</v>
      </c>
      <c r="L1242" s="48"/>
      <c r="M1242" s="16"/>
      <c r="P1242" s="15"/>
      <c r="Q1242" s="15"/>
      <c r="R1242" s="15"/>
      <c r="S1242" s="15"/>
      <c r="T1242" s="15"/>
      <c r="U1242" s="15"/>
      <c r="V1242" s="15"/>
      <c r="W1242" s="15"/>
      <c r="X1242" s="15"/>
      <c r="Y1242" s="15"/>
      <c r="Z1242" s="15"/>
    </row>
    <row r="1243" spans="2:26" ht="14" customHeight="1" x14ac:dyDescent="0.25">
      <c r="B1243" s="83" t="s">
        <v>582</v>
      </c>
      <c r="C1243" s="85" t="s">
        <v>335</v>
      </c>
      <c r="D1243" s="87" t="s">
        <v>583</v>
      </c>
      <c r="E1243" s="107" t="s">
        <v>337</v>
      </c>
      <c r="F1243" s="107"/>
      <c r="G1243" s="107"/>
      <c r="H1243" s="108" t="s">
        <v>584</v>
      </c>
      <c r="I1243" s="59"/>
      <c r="J1243" s="83" t="s">
        <v>582</v>
      </c>
      <c r="K1243" s="85" t="s">
        <v>335</v>
      </c>
      <c r="L1243" s="87" t="s">
        <v>600</v>
      </c>
      <c r="M1243" s="107" t="s">
        <v>337</v>
      </c>
      <c r="N1243" s="108" t="s">
        <v>587</v>
      </c>
      <c r="P1243" s="15"/>
      <c r="Q1243" s="15"/>
      <c r="R1243" s="15"/>
      <c r="S1243" s="15"/>
      <c r="T1243" s="15"/>
      <c r="U1243" s="15"/>
      <c r="V1243" s="15"/>
      <c r="W1243" s="15"/>
      <c r="X1243" s="15"/>
      <c r="Y1243" s="15"/>
      <c r="Z1243" s="15"/>
    </row>
    <row r="1244" spans="2:26" ht="14" customHeight="1" x14ac:dyDescent="0.25">
      <c r="B1244" s="78">
        <v>1</v>
      </c>
      <c r="C1244" s="9" t="s">
        <v>68</v>
      </c>
      <c r="D1244" s="112">
        <v>3.08</v>
      </c>
      <c r="E1244" s="45">
        <f t="shared" ref="E1244:E1253" si="70">D1244/H1244</f>
        <v>0.5520702634880803</v>
      </c>
      <c r="F1244" s="45"/>
      <c r="G1244" s="45"/>
      <c r="H1244" s="104">
        <v>5.5789999999999997</v>
      </c>
      <c r="I1244" s="59"/>
      <c r="J1244" s="78">
        <v>1</v>
      </c>
      <c r="K1244" s="9" t="s">
        <v>68</v>
      </c>
      <c r="L1244" s="112">
        <v>7.7</v>
      </c>
      <c r="M1244" s="45">
        <f t="shared" ref="M1244:M1253" si="71">L1244/N1244</f>
        <v>0.54072274265810871</v>
      </c>
      <c r="N1244" s="104">
        <v>14.2402</v>
      </c>
      <c r="P1244" s="15"/>
      <c r="Q1244" s="15"/>
      <c r="R1244" s="15"/>
      <c r="S1244" s="15"/>
      <c r="T1244" s="15"/>
      <c r="U1244" s="15"/>
      <c r="V1244" s="15"/>
      <c r="W1244" s="15"/>
      <c r="X1244" s="15"/>
      <c r="Y1244" s="15"/>
      <c r="Z1244" s="15"/>
    </row>
    <row r="1245" spans="2:26" ht="14" customHeight="1" x14ac:dyDescent="0.25">
      <c r="B1245" s="78">
        <v>2</v>
      </c>
      <c r="C1245" s="9" t="s">
        <v>69</v>
      </c>
      <c r="D1245" s="112">
        <v>0.74</v>
      </c>
      <c r="E1245" s="45">
        <f t="shared" si="70"/>
        <v>0.13264025811077254</v>
      </c>
      <c r="F1245" s="45"/>
      <c r="G1245" s="45"/>
      <c r="H1245" s="104">
        <v>5.5789999999999997</v>
      </c>
      <c r="I1245" s="59"/>
      <c r="J1245" s="78">
        <v>2</v>
      </c>
      <c r="K1245" s="9" t="s">
        <v>69</v>
      </c>
      <c r="L1245" s="112">
        <v>1.88</v>
      </c>
      <c r="M1245" s="45">
        <f t="shared" si="71"/>
        <v>0.13202061768795381</v>
      </c>
      <c r="N1245" s="104">
        <v>14.2402</v>
      </c>
      <c r="P1245" s="15"/>
      <c r="Q1245" s="15"/>
      <c r="R1245" s="15"/>
      <c r="S1245" s="15"/>
      <c r="T1245" s="15"/>
      <c r="U1245" s="15"/>
      <c r="V1245" s="15"/>
      <c r="W1245" s="15"/>
      <c r="X1245" s="15"/>
      <c r="Y1245" s="15"/>
      <c r="Z1245" s="15"/>
    </row>
    <row r="1246" spans="2:26" ht="14" customHeight="1" x14ac:dyDescent="0.25">
      <c r="B1246" s="78">
        <v>3</v>
      </c>
      <c r="C1246" s="9" t="s">
        <v>601</v>
      </c>
      <c r="D1246" s="112">
        <v>0.55000000000000004</v>
      </c>
      <c r="E1246" s="45">
        <f t="shared" si="70"/>
        <v>9.8583975622871495E-2</v>
      </c>
      <c r="F1246" s="45"/>
      <c r="G1246" s="45"/>
      <c r="H1246" s="104">
        <v>5.5789999999999997</v>
      </c>
      <c r="I1246" s="59"/>
      <c r="J1246" s="78">
        <v>3</v>
      </c>
      <c r="K1246" s="9" t="s">
        <v>601</v>
      </c>
      <c r="L1246" s="112">
        <v>0.96</v>
      </c>
      <c r="M1246" s="45">
        <f t="shared" si="71"/>
        <v>6.7414783500231737E-2</v>
      </c>
      <c r="N1246" s="104">
        <v>14.2402</v>
      </c>
      <c r="P1246" s="15"/>
      <c r="Q1246" s="15"/>
      <c r="R1246" s="15"/>
      <c r="S1246" s="15"/>
      <c r="T1246" s="15"/>
      <c r="U1246" s="15"/>
      <c r="V1246" s="15"/>
      <c r="W1246" s="15"/>
      <c r="X1246" s="15"/>
      <c r="Y1246" s="15"/>
      <c r="Z1246" s="15"/>
    </row>
    <row r="1247" spans="2:26" ht="14" customHeight="1" x14ac:dyDescent="0.25">
      <c r="B1247" s="78">
        <v>4</v>
      </c>
      <c r="C1247" s="9" t="s">
        <v>595</v>
      </c>
      <c r="D1247" s="112">
        <v>0.34</v>
      </c>
      <c r="E1247" s="45">
        <f t="shared" si="70"/>
        <v>6.0942821294138742E-2</v>
      </c>
      <c r="F1247" s="45"/>
      <c r="G1247" s="45"/>
      <c r="H1247" s="104">
        <v>5.5789999999999997</v>
      </c>
      <c r="I1247" s="59"/>
      <c r="J1247" s="78">
        <v>4</v>
      </c>
      <c r="K1247" s="9" t="s">
        <v>595</v>
      </c>
      <c r="L1247" s="112">
        <v>0.83</v>
      </c>
      <c r="M1247" s="45">
        <f t="shared" si="71"/>
        <v>5.8285698234575356E-2</v>
      </c>
      <c r="N1247" s="104">
        <v>14.2402</v>
      </c>
      <c r="P1247" s="15"/>
      <c r="Q1247" s="15"/>
      <c r="R1247" s="15"/>
      <c r="S1247" s="15"/>
      <c r="T1247" s="15"/>
      <c r="U1247" s="15"/>
      <c r="V1247" s="15"/>
      <c r="W1247" s="15"/>
      <c r="X1247" s="15"/>
      <c r="Y1247" s="15"/>
      <c r="Z1247" s="15"/>
    </row>
    <row r="1248" spans="2:26" ht="14" customHeight="1" x14ac:dyDescent="0.25">
      <c r="B1248" s="78">
        <v>5</v>
      </c>
      <c r="C1248" s="9" t="s">
        <v>70</v>
      </c>
      <c r="D1248" s="112">
        <v>0.22</v>
      </c>
      <c r="E1248" s="45">
        <f t="shared" si="70"/>
        <v>3.9433590249148595E-2</v>
      </c>
      <c r="F1248" s="45"/>
      <c r="G1248" s="45"/>
      <c r="H1248" s="104">
        <v>5.5789999999999997</v>
      </c>
      <c r="I1248" s="59"/>
      <c r="J1248" s="78">
        <v>5</v>
      </c>
      <c r="K1248" s="9" t="s">
        <v>70</v>
      </c>
      <c r="L1248" s="112">
        <v>0.6</v>
      </c>
      <c r="M1248" s="45">
        <f t="shared" si="71"/>
        <v>4.2134239687644834E-2</v>
      </c>
      <c r="N1248" s="104">
        <v>14.2402</v>
      </c>
      <c r="P1248" s="15"/>
      <c r="Q1248" s="15"/>
      <c r="R1248" s="15"/>
      <c r="S1248" s="15"/>
      <c r="T1248" s="15"/>
      <c r="U1248" s="15"/>
      <c r="V1248" s="15"/>
      <c r="W1248" s="15"/>
      <c r="X1248" s="15"/>
      <c r="Y1248" s="15"/>
      <c r="Z1248" s="15"/>
    </row>
    <row r="1249" spans="2:26" ht="14" customHeight="1" x14ac:dyDescent="0.25">
      <c r="B1249" s="78">
        <v>6</v>
      </c>
      <c r="C1249" s="9" t="s">
        <v>74</v>
      </c>
      <c r="D1249" s="112">
        <v>0.14000000000000001</v>
      </c>
      <c r="E1249" s="45">
        <f t="shared" si="70"/>
        <v>2.5094102885821836E-2</v>
      </c>
      <c r="F1249" s="45"/>
      <c r="G1249" s="45"/>
      <c r="H1249" s="104">
        <v>5.5789999999999997</v>
      </c>
      <c r="I1249" s="59"/>
      <c r="J1249" s="78">
        <v>6</v>
      </c>
      <c r="K1249" s="9" t="s">
        <v>357</v>
      </c>
      <c r="L1249" s="112">
        <v>0.42</v>
      </c>
      <c r="M1249" s="45">
        <f t="shared" si="71"/>
        <v>2.9493967781351386E-2</v>
      </c>
      <c r="N1249" s="104">
        <v>14.2402</v>
      </c>
      <c r="P1249" s="15"/>
      <c r="Q1249" s="15"/>
      <c r="R1249" s="15"/>
      <c r="S1249" s="15"/>
      <c r="T1249" s="15"/>
      <c r="U1249" s="15"/>
      <c r="V1249" s="15"/>
      <c r="W1249" s="15"/>
      <c r="X1249" s="15"/>
      <c r="Y1249" s="15"/>
      <c r="Z1249" s="15"/>
    </row>
    <row r="1250" spans="2:26" ht="14" customHeight="1" x14ac:dyDescent="0.25">
      <c r="B1250" s="78">
        <v>7</v>
      </c>
      <c r="C1250" s="9" t="s">
        <v>73</v>
      </c>
      <c r="D1250" s="112">
        <v>0.08</v>
      </c>
      <c r="E1250" s="45">
        <f t="shared" si="70"/>
        <v>1.4339487363326762E-2</v>
      </c>
      <c r="F1250" s="45"/>
      <c r="G1250" s="45"/>
      <c r="H1250" s="104">
        <v>5.5789999999999997</v>
      </c>
      <c r="I1250" s="59"/>
      <c r="J1250" s="78">
        <v>7</v>
      </c>
      <c r="K1250" s="9" t="s">
        <v>74</v>
      </c>
      <c r="L1250" s="112">
        <v>0.3</v>
      </c>
      <c r="M1250" s="45">
        <f t="shared" si="71"/>
        <v>2.1067119843822417E-2</v>
      </c>
      <c r="N1250" s="104">
        <v>14.2402</v>
      </c>
      <c r="P1250" s="15"/>
      <c r="Q1250" s="15"/>
      <c r="R1250" s="15"/>
      <c r="S1250" s="15"/>
      <c r="T1250" s="15"/>
      <c r="U1250" s="15"/>
      <c r="V1250" s="15"/>
      <c r="W1250" s="15"/>
      <c r="X1250" s="15"/>
      <c r="Y1250" s="15"/>
      <c r="Z1250" s="15"/>
    </row>
    <row r="1251" spans="2:26" ht="14" customHeight="1" x14ac:dyDescent="0.25">
      <c r="B1251" s="78">
        <v>8</v>
      </c>
      <c r="C1251" s="9" t="s">
        <v>545</v>
      </c>
      <c r="D1251" s="112">
        <v>7.0000000000000007E-2</v>
      </c>
      <c r="E1251" s="45">
        <f t="shared" si="70"/>
        <v>1.2547051442910918E-2</v>
      </c>
      <c r="F1251" s="45"/>
      <c r="G1251" s="45"/>
      <c r="H1251" s="104">
        <v>5.5789999999999997</v>
      </c>
      <c r="I1251" s="59"/>
      <c r="J1251" s="78">
        <v>8</v>
      </c>
      <c r="K1251" s="9" t="s">
        <v>73</v>
      </c>
      <c r="L1251" s="112">
        <v>0.16</v>
      </c>
      <c r="M1251" s="45">
        <f t="shared" si="71"/>
        <v>1.1235797250038624E-2</v>
      </c>
      <c r="N1251" s="104">
        <v>14.2402</v>
      </c>
      <c r="P1251" s="15"/>
      <c r="Q1251" s="15"/>
      <c r="R1251" s="15"/>
      <c r="S1251" s="15"/>
      <c r="T1251" s="15"/>
      <c r="U1251" s="15"/>
      <c r="V1251" s="15"/>
      <c r="W1251" s="15"/>
      <c r="X1251" s="15"/>
      <c r="Y1251" s="15"/>
      <c r="Z1251" s="15"/>
    </row>
    <row r="1252" spans="2:26" ht="14" customHeight="1" x14ac:dyDescent="0.25">
      <c r="B1252" s="78">
        <v>9</v>
      </c>
      <c r="C1252" s="9" t="s">
        <v>509</v>
      </c>
      <c r="D1252" s="112">
        <v>0.06</v>
      </c>
      <c r="E1252" s="45">
        <f t="shared" si="70"/>
        <v>1.075461552249507E-2</v>
      </c>
      <c r="F1252" s="45"/>
      <c r="G1252" s="45"/>
      <c r="H1252" s="104">
        <v>5.5789999999999997</v>
      </c>
      <c r="I1252" s="59"/>
      <c r="J1252" s="78">
        <v>9</v>
      </c>
      <c r="K1252" s="9" t="s">
        <v>509</v>
      </c>
      <c r="L1252" s="112">
        <v>0.16</v>
      </c>
      <c r="M1252" s="45">
        <f t="shared" si="71"/>
        <v>1.1235797250038624E-2</v>
      </c>
      <c r="N1252" s="104">
        <v>14.2402</v>
      </c>
      <c r="P1252" s="15"/>
      <c r="Q1252" s="15"/>
      <c r="R1252" s="15"/>
      <c r="S1252" s="15"/>
      <c r="T1252" s="15"/>
      <c r="U1252" s="15"/>
      <c r="V1252" s="15"/>
      <c r="W1252" s="15"/>
      <c r="X1252" s="15"/>
      <c r="Y1252" s="15"/>
      <c r="Z1252" s="15"/>
    </row>
    <row r="1253" spans="2:26" ht="14" customHeight="1" x14ac:dyDescent="0.25">
      <c r="B1253" s="80">
        <v>10</v>
      </c>
      <c r="C1253" s="110" t="s">
        <v>566</v>
      </c>
      <c r="D1253" s="114">
        <v>0.05</v>
      </c>
      <c r="E1253" s="116">
        <f t="shared" si="70"/>
        <v>8.9605734767025085E-3</v>
      </c>
      <c r="F1253" s="116"/>
      <c r="G1253" s="116"/>
      <c r="H1253" s="105">
        <v>5.58</v>
      </c>
      <c r="I1253" s="59"/>
      <c r="J1253" s="80">
        <v>10</v>
      </c>
      <c r="K1253" s="110" t="s">
        <v>566</v>
      </c>
      <c r="L1253" s="114">
        <v>0.16</v>
      </c>
      <c r="M1253" s="116">
        <f t="shared" si="71"/>
        <v>1.1235955056179775E-2</v>
      </c>
      <c r="N1253" s="105">
        <v>14.24</v>
      </c>
      <c r="P1253" s="15"/>
      <c r="Q1253" s="15"/>
      <c r="R1253" s="15"/>
      <c r="S1253" s="15"/>
      <c r="T1253" s="15"/>
      <c r="U1253" s="15"/>
      <c r="V1253" s="15"/>
      <c r="W1253" s="15"/>
      <c r="X1253" s="15"/>
      <c r="Y1253" s="15"/>
      <c r="Z1253" s="15"/>
    </row>
    <row r="1254" spans="2:26" ht="14" customHeight="1" x14ac:dyDescent="0.25">
      <c r="D1254" s="48"/>
      <c r="E1254" s="16"/>
      <c r="F1254" s="16"/>
      <c r="G1254" s="16"/>
      <c r="L1254" s="48"/>
      <c r="M1254" s="16"/>
      <c r="O1254" s="49"/>
      <c r="P1254" s="15"/>
      <c r="Q1254" s="15"/>
      <c r="R1254" s="15"/>
      <c r="S1254" s="15"/>
      <c r="T1254" s="15"/>
      <c r="U1254" s="15"/>
      <c r="V1254" s="15"/>
      <c r="W1254" s="15"/>
      <c r="X1254" s="15"/>
      <c r="Y1254" s="15"/>
      <c r="Z1254" s="15"/>
    </row>
    <row r="1255" spans="2:26" ht="14" customHeight="1" x14ac:dyDescent="0.25">
      <c r="D1255" s="48"/>
      <c r="E1255" s="16"/>
      <c r="F1255" s="16"/>
      <c r="G1255" s="16"/>
      <c r="L1255" s="48"/>
      <c r="M1255" s="16"/>
      <c r="O1255" s="234"/>
      <c r="P1255" s="15"/>
      <c r="Q1255" s="15"/>
      <c r="R1255" s="15"/>
      <c r="S1255" s="15"/>
      <c r="T1255" s="15"/>
      <c r="U1255" s="15"/>
      <c r="V1255" s="15"/>
      <c r="W1255" s="15"/>
      <c r="X1255" s="15"/>
      <c r="Y1255" s="15"/>
      <c r="Z1255" s="15"/>
    </row>
    <row r="1256" spans="2:26" ht="14" customHeight="1" x14ac:dyDescent="0.25">
      <c r="B1256" s="15" t="s">
        <v>625</v>
      </c>
      <c r="D1256" s="48"/>
      <c r="E1256" s="16"/>
      <c r="F1256" s="16"/>
      <c r="G1256" s="16"/>
      <c r="L1256" s="48"/>
      <c r="M1256" s="16"/>
      <c r="O1256" s="234"/>
      <c r="P1256" s="15"/>
      <c r="Q1256" s="15"/>
      <c r="R1256" s="15"/>
      <c r="S1256" s="15"/>
      <c r="T1256" s="15"/>
      <c r="U1256" s="15"/>
      <c r="V1256" s="15"/>
      <c r="W1256" s="15"/>
      <c r="X1256" s="15"/>
      <c r="Y1256" s="15"/>
      <c r="Z1256" s="15"/>
    </row>
    <row r="1257" spans="2:26" ht="14" customHeight="1" x14ac:dyDescent="0.25">
      <c r="B1257" s="83" t="s">
        <v>582</v>
      </c>
      <c r="C1257" s="85" t="s">
        <v>335</v>
      </c>
      <c r="D1257" s="87" t="s">
        <v>583</v>
      </c>
      <c r="E1257" s="107" t="s">
        <v>337</v>
      </c>
      <c r="F1257" s="107"/>
      <c r="G1257" s="107"/>
      <c r="H1257" s="108" t="s">
        <v>584</v>
      </c>
      <c r="L1257" s="48"/>
      <c r="M1257" s="16"/>
      <c r="O1257" s="234"/>
      <c r="P1257" s="15"/>
      <c r="Q1257" s="15"/>
      <c r="R1257" s="15"/>
      <c r="S1257" s="15"/>
      <c r="T1257" s="15"/>
      <c r="U1257" s="15"/>
      <c r="V1257" s="15"/>
      <c r="W1257" s="15"/>
      <c r="X1257" s="15"/>
      <c r="Y1257" s="15"/>
      <c r="Z1257" s="15"/>
    </row>
    <row r="1258" spans="2:26" ht="14" customHeight="1" x14ac:dyDescent="0.25">
      <c r="B1258" s="78">
        <v>1</v>
      </c>
      <c r="C1258" s="9" t="s">
        <v>68</v>
      </c>
      <c r="D1258" s="112">
        <v>4.62</v>
      </c>
      <c r="E1258" s="45">
        <f t="shared" ref="E1258:E1267" si="72">D1258/H1258</f>
        <v>0.53341338382672154</v>
      </c>
      <c r="F1258" s="45"/>
      <c r="G1258" s="45"/>
      <c r="H1258" s="104">
        <v>8.6611999999999991</v>
      </c>
      <c r="L1258" s="48"/>
      <c r="M1258" s="16"/>
      <c r="O1258" s="234"/>
      <c r="P1258" s="15"/>
      <c r="Q1258" s="15"/>
      <c r="R1258" s="15"/>
      <c r="S1258" s="15"/>
      <c r="T1258" s="15"/>
      <c r="U1258" s="15"/>
      <c r="V1258" s="15"/>
      <c r="W1258" s="15"/>
      <c r="X1258" s="15"/>
      <c r="Y1258" s="15"/>
      <c r="Z1258" s="15"/>
    </row>
    <row r="1259" spans="2:26" ht="14" customHeight="1" x14ac:dyDescent="0.25">
      <c r="B1259" s="78">
        <v>2</v>
      </c>
      <c r="C1259" s="9" t="s">
        <v>69</v>
      </c>
      <c r="D1259" s="112">
        <v>1.1299999999999999</v>
      </c>
      <c r="E1259" s="45">
        <f t="shared" si="72"/>
        <v>0.13046690989701196</v>
      </c>
      <c r="F1259" s="45"/>
      <c r="G1259" s="45"/>
      <c r="H1259" s="104">
        <v>8.6611999999999991</v>
      </c>
      <c r="L1259" s="48"/>
      <c r="M1259" s="16"/>
      <c r="O1259" s="234"/>
      <c r="P1259" s="15"/>
      <c r="Q1259" s="15"/>
      <c r="R1259" s="15"/>
      <c r="S1259" s="15"/>
      <c r="T1259" s="15"/>
      <c r="U1259" s="15"/>
      <c r="V1259" s="15"/>
      <c r="W1259" s="15"/>
      <c r="X1259" s="15"/>
      <c r="Y1259" s="15"/>
      <c r="Z1259" s="15"/>
    </row>
    <row r="1260" spans="2:26" ht="14" customHeight="1" x14ac:dyDescent="0.25">
      <c r="B1260" s="78">
        <v>3</v>
      </c>
      <c r="C1260" s="9" t="s">
        <v>595</v>
      </c>
      <c r="D1260" s="112">
        <v>0.49</v>
      </c>
      <c r="E1260" s="45">
        <f t="shared" si="72"/>
        <v>5.6574146769500767E-2</v>
      </c>
      <c r="F1260" s="45"/>
      <c r="G1260" s="45"/>
      <c r="H1260" s="104">
        <v>8.6611999999999991</v>
      </c>
      <c r="L1260" s="48"/>
      <c r="M1260" s="16"/>
      <c r="O1260" s="234"/>
      <c r="P1260" s="15"/>
      <c r="Q1260" s="15"/>
      <c r="R1260" s="15"/>
      <c r="S1260" s="15"/>
      <c r="T1260" s="15"/>
      <c r="U1260" s="15"/>
      <c r="V1260" s="15"/>
      <c r="W1260" s="15"/>
      <c r="X1260" s="15"/>
      <c r="Y1260" s="15"/>
      <c r="Z1260" s="15"/>
    </row>
    <row r="1261" spans="2:26" ht="14" customHeight="1" x14ac:dyDescent="0.25">
      <c r="B1261" s="78">
        <v>4</v>
      </c>
      <c r="C1261" s="9" t="s">
        <v>601</v>
      </c>
      <c r="D1261" s="112">
        <v>0.42</v>
      </c>
      <c r="E1261" s="45">
        <f t="shared" si="72"/>
        <v>4.8492125802429224E-2</v>
      </c>
      <c r="F1261" s="45"/>
      <c r="G1261" s="45"/>
      <c r="H1261" s="104">
        <v>8.6611999999999991</v>
      </c>
      <c r="L1261" s="48"/>
      <c r="M1261" s="16"/>
      <c r="O1261" s="234"/>
      <c r="P1261" s="15"/>
      <c r="Q1261" s="15"/>
      <c r="R1261" s="15"/>
      <c r="S1261" s="15"/>
      <c r="T1261" s="15"/>
      <c r="U1261" s="15"/>
      <c r="V1261" s="15"/>
      <c r="W1261" s="15"/>
      <c r="X1261" s="15"/>
      <c r="Y1261" s="15"/>
      <c r="Z1261" s="15"/>
    </row>
    <row r="1262" spans="2:26" ht="14" customHeight="1" x14ac:dyDescent="0.25">
      <c r="B1262" s="78">
        <v>5</v>
      </c>
      <c r="C1262" s="9" t="s">
        <v>357</v>
      </c>
      <c r="D1262" s="112">
        <v>0.4</v>
      </c>
      <c r="E1262" s="45">
        <f t="shared" si="72"/>
        <v>4.6182976954694505E-2</v>
      </c>
      <c r="F1262" s="45"/>
      <c r="G1262" s="45"/>
      <c r="H1262" s="104">
        <v>8.6611999999999991</v>
      </c>
      <c r="L1262" s="48"/>
      <c r="M1262" s="16"/>
      <c r="O1262" s="234"/>
      <c r="P1262" s="15"/>
      <c r="Q1262" s="15"/>
      <c r="R1262" s="15"/>
      <c r="S1262" s="15"/>
      <c r="T1262" s="15"/>
      <c r="U1262" s="15"/>
      <c r="V1262" s="15"/>
      <c r="W1262" s="15"/>
      <c r="X1262" s="15"/>
      <c r="Y1262" s="15"/>
      <c r="Z1262" s="15"/>
    </row>
    <row r="1263" spans="2:26" ht="14" customHeight="1" x14ac:dyDescent="0.25">
      <c r="B1263" s="78">
        <v>6</v>
      </c>
      <c r="C1263" s="9" t="s">
        <v>70</v>
      </c>
      <c r="D1263" s="112">
        <v>0.38</v>
      </c>
      <c r="E1263" s="45">
        <f t="shared" si="72"/>
        <v>4.3873828106959778E-2</v>
      </c>
      <c r="F1263" s="45"/>
      <c r="G1263" s="45"/>
      <c r="H1263" s="104">
        <v>8.6611999999999991</v>
      </c>
      <c r="L1263" s="48"/>
      <c r="M1263" s="16"/>
      <c r="O1263" s="234"/>
      <c r="P1263" s="15"/>
      <c r="Q1263" s="15"/>
      <c r="R1263" s="15"/>
      <c r="S1263" s="15"/>
      <c r="T1263" s="15"/>
      <c r="U1263" s="15"/>
      <c r="V1263" s="15"/>
      <c r="W1263" s="15"/>
      <c r="X1263" s="15"/>
      <c r="Y1263" s="15"/>
      <c r="Z1263" s="15"/>
    </row>
    <row r="1264" spans="2:26" ht="14" customHeight="1" x14ac:dyDescent="0.25">
      <c r="B1264" s="78">
        <v>7</v>
      </c>
      <c r="C1264" s="9" t="s">
        <v>74</v>
      </c>
      <c r="D1264" s="112">
        <v>0.16</v>
      </c>
      <c r="E1264" s="45">
        <f t="shared" si="72"/>
        <v>1.8473190781877803E-2</v>
      </c>
      <c r="F1264" s="45"/>
      <c r="G1264" s="45"/>
      <c r="H1264" s="104">
        <v>8.6611999999999991</v>
      </c>
      <c r="L1264" s="48"/>
      <c r="M1264" s="16"/>
      <c r="O1264" s="234"/>
      <c r="P1264" s="15"/>
      <c r="Q1264" s="15"/>
      <c r="R1264" s="15"/>
      <c r="S1264" s="15"/>
      <c r="T1264" s="15"/>
      <c r="U1264" s="15"/>
      <c r="V1264" s="15"/>
      <c r="W1264" s="15"/>
      <c r="X1264" s="15"/>
      <c r="Y1264" s="15"/>
      <c r="Z1264" s="15"/>
    </row>
    <row r="1265" spans="2:26" ht="14" customHeight="1" x14ac:dyDescent="0.25">
      <c r="B1265" s="78" t="s">
        <v>61</v>
      </c>
      <c r="C1265" s="9" t="s">
        <v>626</v>
      </c>
      <c r="D1265" s="112">
        <v>0.13</v>
      </c>
      <c r="E1265" s="45">
        <f t="shared" si="72"/>
        <v>1.5009467510275714E-2</v>
      </c>
      <c r="F1265" s="45"/>
      <c r="G1265" s="45"/>
      <c r="H1265" s="104">
        <v>8.6611999999999991</v>
      </c>
      <c r="L1265" s="48"/>
      <c r="M1265" s="16"/>
      <c r="P1265" s="15"/>
      <c r="Q1265" s="15"/>
      <c r="R1265" s="15"/>
      <c r="S1265" s="15"/>
      <c r="T1265" s="15"/>
      <c r="U1265" s="15"/>
      <c r="V1265" s="15"/>
      <c r="W1265" s="15"/>
      <c r="X1265" s="15"/>
      <c r="Y1265" s="15"/>
      <c r="Z1265" s="15"/>
    </row>
    <row r="1266" spans="2:26" ht="14" customHeight="1" x14ac:dyDescent="0.25">
      <c r="B1266" s="78">
        <v>9</v>
      </c>
      <c r="C1266" s="9" t="s">
        <v>590</v>
      </c>
      <c r="D1266" s="112">
        <v>0.11</v>
      </c>
      <c r="E1266" s="45">
        <f t="shared" si="72"/>
        <v>1.2700318662540989E-2</v>
      </c>
      <c r="F1266" s="45"/>
      <c r="G1266" s="45"/>
      <c r="H1266" s="104">
        <v>8.6611999999999991</v>
      </c>
      <c r="L1266" s="48"/>
      <c r="M1266" s="16"/>
      <c r="P1266" s="15"/>
      <c r="Q1266" s="15"/>
      <c r="R1266" s="15"/>
      <c r="S1266" s="15"/>
      <c r="T1266" s="15"/>
      <c r="U1266" s="15"/>
      <c r="V1266" s="15"/>
      <c r="W1266" s="15"/>
      <c r="X1266" s="15"/>
      <c r="Y1266" s="15"/>
      <c r="Z1266" s="15"/>
    </row>
    <row r="1267" spans="2:26" ht="14" customHeight="1" x14ac:dyDescent="0.25">
      <c r="B1267" s="80">
        <v>10</v>
      </c>
      <c r="C1267" s="110" t="s">
        <v>566</v>
      </c>
      <c r="D1267" s="114">
        <v>0.11</v>
      </c>
      <c r="E1267" s="116">
        <f t="shared" si="72"/>
        <v>1.2702078521939953E-2</v>
      </c>
      <c r="F1267" s="116"/>
      <c r="G1267" s="116"/>
      <c r="H1267" s="105">
        <v>8.66</v>
      </c>
      <c r="L1267" s="48"/>
      <c r="M1267" s="16"/>
      <c r="P1267" s="15"/>
      <c r="Q1267" s="15"/>
      <c r="R1267" s="15"/>
      <c r="S1267" s="15"/>
      <c r="T1267" s="15"/>
      <c r="U1267" s="15"/>
      <c r="V1267" s="15"/>
      <c r="W1267" s="15"/>
      <c r="X1267" s="15"/>
      <c r="Y1267" s="15"/>
      <c r="Z1267" s="15"/>
    </row>
    <row r="1268" spans="2:26" ht="14" customHeight="1" x14ac:dyDescent="0.25">
      <c r="D1268" s="48"/>
      <c r="E1268" s="16"/>
      <c r="F1268" s="16"/>
      <c r="G1268" s="16"/>
      <c r="L1268" s="48"/>
      <c r="M1268" s="16"/>
      <c r="O1268" s="49"/>
      <c r="P1268" s="15"/>
      <c r="Q1268" s="15"/>
      <c r="R1268" s="15"/>
      <c r="S1268" s="15"/>
      <c r="T1268" s="15"/>
      <c r="U1268" s="15"/>
      <c r="V1268" s="15"/>
      <c r="W1268" s="15"/>
      <c r="X1268" s="15"/>
      <c r="Y1268" s="15"/>
      <c r="Z1268" s="15"/>
    </row>
    <row r="1269" spans="2:26" ht="14" customHeight="1" x14ac:dyDescent="0.25">
      <c r="D1269" s="48"/>
      <c r="E1269" s="16"/>
      <c r="F1269" s="16"/>
      <c r="G1269" s="16"/>
      <c r="L1269" s="48"/>
      <c r="M1269" s="16"/>
      <c r="O1269" s="234"/>
      <c r="P1269" s="15"/>
      <c r="Q1269" s="15"/>
      <c r="R1269" s="15"/>
      <c r="S1269" s="15"/>
      <c r="T1269" s="15"/>
      <c r="U1269" s="15"/>
      <c r="V1269" s="15"/>
      <c r="W1269" s="15"/>
      <c r="X1269" s="15"/>
      <c r="Y1269" s="15"/>
      <c r="Z1269" s="15"/>
    </row>
    <row r="1270" spans="2:26" ht="14" customHeight="1" x14ac:dyDescent="0.25">
      <c r="B1270" s="15" t="s">
        <v>627</v>
      </c>
      <c r="D1270" s="48"/>
      <c r="E1270" s="16"/>
      <c r="F1270" s="16"/>
      <c r="G1270" s="16"/>
      <c r="J1270" s="15" t="s">
        <v>628</v>
      </c>
      <c r="L1270" s="48"/>
      <c r="M1270" s="16"/>
      <c r="O1270" s="234"/>
      <c r="P1270" s="15"/>
      <c r="Q1270" s="15"/>
      <c r="R1270" s="15"/>
      <c r="S1270" s="15"/>
      <c r="T1270" s="15"/>
      <c r="U1270" s="15"/>
      <c r="V1270" s="15"/>
      <c r="W1270" s="15"/>
      <c r="X1270" s="15"/>
      <c r="Y1270" s="15"/>
      <c r="Z1270" s="15"/>
    </row>
    <row r="1271" spans="2:26" ht="14" customHeight="1" x14ac:dyDescent="0.25">
      <c r="B1271" s="83" t="s">
        <v>582</v>
      </c>
      <c r="C1271" s="85" t="s">
        <v>335</v>
      </c>
      <c r="D1271" s="87" t="s">
        <v>583</v>
      </c>
      <c r="E1271" s="107" t="s">
        <v>337</v>
      </c>
      <c r="F1271" s="107"/>
      <c r="G1271" s="107"/>
      <c r="H1271" s="108" t="s">
        <v>584</v>
      </c>
      <c r="I1271" s="59"/>
      <c r="J1271" s="83" t="s">
        <v>582</v>
      </c>
      <c r="K1271" s="85" t="s">
        <v>335</v>
      </c>
      <c r="L1271" s="87" t="s">
        <v>583</v>
      </c>
      <c r="M1271" s="107" t="s">
        <v>337</v>
      </c>
      <c r="N1271" s="108" t="s">
        <v>587</v>
      </c>
      <c r="O1271" s="234"/>
      <c r="P1271" s="15"/>
      <c r="Q1271" s="15"/>
      <c r="R1271" s="15"/>
      <c r="S1271" s="15"/>
      <c r="T1271" s="15"/>
      <c r="U1271" s="15"/>
      <c r="V1271" s="15"/>
      <c r="W1271" s="15"/>
      <c r="X1271" s="15"/>
      <c r="Y1271" s="15"/>
      <c r="Z1271" s="15"/>
    </row>
    <row r="1272" spans="2:26" ht="14" customHeight="1" x14ac:dyDescent="0.25">
      <c r="B1272" s="78">
        <v>1</v>
      </c>
      <c r="C1272" s="9" t="s">
        <v>68</v>
      </c>
      <c r="D1272" s="112">
        <v>6.79</v>
      </c>
      <c r="E1272" s="45">
        <f t="shared" ref="E1272:E1281" si="73">D1272/H1272</f>
        <v>0.52422717025416132</v>
      </c>
      <c r="F1272" s="45"/>
      <c r="G1272" s="45"/>
      <c r="H1272" s="104">
        <v>12.952400000000001</v>
      </c>
      <c r="I1272" s="59"/>
      <c r="J1272" s="78">
        <v>1</v>
      </c>
      <c r="K1272" s="9" t="s">
        <v>68</v>
      </c>
      <c r="L1272" s="112">
        <v>31.79</v>
      </c>
      <c r="M1272" s="45">
        <f t="shared" ref="M1272:M1281" si="74">L1272/N1272</f>
        <v>0.49954429743235174</v>
      </c>
      <c r="N1272" s="104">
        <v>63.637999999999998</v>
      </c>
      <c r="O1272" s="234"/>
      <c r="P1272" s="15"/>
      <c r="Q1272" s="15"/>
      <c r="R1272" s="15"/>
      <c r="S1272" s="15"/>
      <c r="T1272" s="15"/>
      <c r="U1272" s="15"/>
      <c r="V1272" s="15"/>
      <c r="W1272" s="15"/>
      <c r="X1272" s="15"/>
      <c r="Y1272" s="15"/>
      <c r="Z1272" s="15"/>
    </row>
    <row r="1273" spans="2:26" ht="14" customHeight="1" x14ac:dyDescent="0.25">
      <c r="B1273" s="78">
        <v>2</v>
      </c>
      <c r="C1273" s="9" t="s">
        <v>69</v>
      </c>
      <c r="D1273" s="112">
        <v>2.0299999999999998</v>
      </c>
      <c r="E1273" s="45">
        <f t="shared" si="73"/>
        <v>0.15672771069454308</v>
      </c>
      <c r="F1273" s="45"/>
      <c r="G1273" s="45"/>
      <c r="H1273" s="104">
        <v>12.952400000000001</v>
      </c>
      <c r="I1273" s="59"/>
      <c r="J1273" s="78">
        <v>2</v>
      </c>
      <c r="K1273" s="9" t="s">
        <v>69</v>
      </c>
      <c r="L1273" s="112">
        <v>9.48</v>
      </c>
      <c r="M1273" s="45">
        <f t="shared" si="74"/>
        <v>0.14896759797605205</v>
      </c>
      <c r="N1273" s="104">
        <v>63.637999999999998</v>
      </c>
      <c r="O1273" s="234"/>
      <c r="P1273" s="15"/>
      <c r="Q1273" s="15"/>
      <c r="R1273" s="15"/>
      <c r="S1273" s="15"/>
      <c r="T1273" s="15"/>
      <c r="U1273" s="15"/>
      <c r="V1273" s="15"/>
      <c r="W1273" s="15"/>
      <c r="X1273" s="15"/>
      <c r="Y1273" s="15"/>
      <c r="Z1273" s="15"/>
    </row>
    <row r="1274" spans="2:26" ht="14" customHeight="1" x14ac:dyDescent="0.25">
      <c r="B1274" s="78">
        <v>3</v>
      </c>
      <c r="C1274" s="9" t="s">
        <v>70</v>
      </c>
      <c r="D1274" s="112">
        <v>0.94</v>
      </c>
      <c r="E1274" s="45">
        <f t="shared" si="73"/>
        <v>7.2573422686143099E-2</v>
      </c>
      <c r="F1274" s="45"/>
      <c r="G1274" s="45"/>
      <c r="H1274" s="104">
        <v>12.952400000000001</v>
      </c>
      <c r="I1274" s="59"/>
      <c r="J1274" s="78">
        <v>3</v>
      </c>
      <c r="K1274" s="9" t="s">
        <v>601</v>
      </c>
      <c r="L1274" s="112">
        <v>4.13</v>
      </c>
      <c r="M1274" s="45">
        <f t="shared" si="74"/>
        <v>6.4898331185769514E-2</v>
      </c>
      <c r="N1274" s="104">
        <v>63.637999999999998</v>
      </c>
      <c r="O1274" s="234"/>
      <c r="P1274" s="15"/>
      <c r="Q1274" s="15"/>
      <c r="R1274" s="15"/>
      <c r="S1274" s="15"/>
      <c r="T1274" s="15"/>
      <c r="U1274" s="15"/>
      <c r="V1274" s="15"/>
      <c r="W1274" s="15"/>
      <c r="X1274" s="15"/>
      <c r="Y1274" s="15"/>
      <c r="Z1274" s="15"/>
    </row>
    <row r="1275" spans="2:26" ht="14" customHeight="1" x14ac:dyDescent="0.25">
      <c r="B1275" s="78">
        <v>4</v>
      </c>
      <c r="C1275" s="9" t="s">
        <v>595</v>
      </c>
      <c r="D1275" s="112">
        <v>0.79</v>
      </c>
      <c r="E1275" s="45">
        <f t="shared" si="73"/>
        <v>6.099255736388623E-2</v>
      </c>
      <c r="F1275" s="45"/>
      <c r="G1275" s="45"/>
      <c r="H1275" s="104">
        <v>12.952400000000001</v>
      </c>
      <c r="I1275" s="59"/>
      <c r="J1275" s="78">
        <v>4</v>
      </c>
      <c r="K1275" s="9" t="s">
        <v>595</v>
      </c>
      <c r="L1275" s="112">
        <v>3.55</v>
      </c>
      <c r="M1275" s="45">
        <f t="shared" si="74"/>
        <v>5.5784279832804297E-2</v>
      </c>
      <c r="N1275" s="104">
        <v>63.637999999999998</v>
      </c>
      <c r="O1275" s="234"/>
      <c r="P1275" s="15"/>
      <c r="Q1275" s="15"/>
      <c r="R1275" s="15"/>
      <c r="S1275" s="15"/>
      <c r="T1275" s="15"/>
      <c r="U1275" s="15"/>
      <c r="V1275" s="15"/>
      <c r="W1275" s="15"/>
      <c r="X1275" s="15"/>
      <c r="Y1275" s="15"/>
      <c r="Z1275" s="15"/>
    </row>
    <row r="1276" spans="2:26" ht="14" customHeight="1" x14ac:dyDescent="0.25">
      <c r="B1276" s="78">
        <v>5</v>
      </c>
      <c r="C1276" s="9" t="s">
        <v>566</v>
      </c>
      <c r="D1276" s="112">
        <v>0.33</v>
      </c>
      <c r="E1276" s="45">
        <f t="shared" si="73"/>
        <v>2.5477903708965133E-2</v>
      </c>
      <c r="F1276" s="45"/>
      <c r="G1276" s="45"/>
      <c r="H1276" s="104">
        <v>12.952400000000001</v>
      </c>
      <c r="I1276" s="59"/>
      <c r="J1276" s="78">
        <v>5</v>
      </c>
      <c r="K1276" s="9" t="s">
        <v>70</v>
      </c>
      <c r="L1276" s="112">
        <v>3.32</v>
      </c>
      <c r="M1276" s="45">
        <f t="shared" si="74"/>
        <v>5.21700870549043E-2</v>
      </c>
      <c r="N1276" s="104">
        <v>63.637999999999998</v>
      </c>
      <c r="O1276" s="234"/>
      <c r="P1276" s="15"/>
      <c r="Q1276" s="15"/>
      <c r="R1276" s="15"/>
      <c r="S1276" s="15"/>
      <c r="T1276" s="15"/>
      <c r="U1276" s="15"/>
      <c r="V1276" s="15"/>
      <c r="W1276" s="15"/>
      <c r="X1276" s="15"/>
      <c r="Y1276" s="15"/>
      <c r="Z1276" s="15"/>
    </row>
    <row r="1277" spans="2:26" ht="14" customHeight="1" x14ac:dyDescent="0.25">
      <c r="B1277" s="78">
        <v>6</v>
      </c>
      <c r="C1277" s="9" t="s">
        <v>73</v>
      </c>
      <c r="D1277" s="112">
        <v>0.31</v>
      </c>
      <c r="E1277" s="45">
        <f t="shared" si="73"/>
        <v>2.3933788332664217E-2</v>
      </c>
      <c r="F1277" s="45"/>
      <c r="G1277" s="45"/>
      <c r="H1277" s="104">
        <v>12.952400000000001</v>
      </c>
      <c r="I1277" s="59"/>
      <c r="J1277" s="78">
        <v>6</v>
      </c>
      <c r="K1277" s="9" t="s">
        <v>72</v>
      </c>
      <c r="L1277" s="112">
        <v>2.2400000000000002</v>
      </c>
      <c r="M1277" s="45">
        <f t="shared" si="74"/>
        <v>3.5199094880417364E-2</v>
      </c>
      <c r="N1277" s="104">
        <v>63.637999999999998</v>
      </c>
      <c r="O1277" s="234"/>
      <c r="P1277" s="15"/>
      <c r="Q1277" s="15"/>
      <c r="R1277" s="15"/>
      <c r="S1277" s="15"/>
      <c r="T1277" s="15"/>
      <c r="U1277" s="15"/>
      <c r="V1277" s="15"/>
      <c r="W1277" s="15"/>
      <c r="X1277" s="15"/>
      <c r="Y1277" s="15"/>
      <c r="Z1277" s="15"/>
    </row>
    <row r="1278" spans="2:26" ht="14" customHeight="1" x14ac:dyDescent="0.25">
      <c r="B1278" s="78">
        <v>7</v>
      </c>
      <c r="C1278" s="9" t="s">
        <v>357</v>
      </c>
      <c r="D1278" s="112">
        <v>0.19</v>
      </c>
      <c r="E1278" s="45">
        <f t="shared" si="73"/>
        <v>1.4669096074858713E-2</v>
      </c>
      <c r="F1278" s="45"/>
      <c r="G1278" s="45"/>
      <c r="H1278" s="104">
        <v>12.952400000000001</v>
      </c>
      <c r="I1278" s="59"/>
      <c r="J1278" s="78">
        <v>7</v>
      </c>
      <c r="K1278" s="9" t="s">
        <v>73</v>
      </c>
      <c r="L1278" s="112">
        <v>1.18</v>
      </c>
      <c r="M1278" s="45">
        <f t="shared" si="74"/>
        <v>1.8542380338791287E-2</v>
      </c>
      <c r="N1278" s="104">
        <v>63.637999999999998</v>
      </c>
      <c r="O1278" s="234"/>
      <c r="P1278" s="15"/>
      <c r="Q1278" s="15"/>
      <c r="R1278" s="15"/>
      <c r="S1278" s="15"/>
      <c r="T1278" s="15"/>
      <c r="U1278" s="15"/>
      <c r="V1278" s="15"/>
      <c r="W1278" s="15"/>
      <c r="X1278" s="15"/>
      <c r="Y1278" s="15"/>
      <c r="Z1278" s="15"/>
    </row>
    <row r="1279" spans="2:26" ht="14" customHeight="1" x14ac:dyDescent="0.25">
      <c r="B1279" s="78">
        <v>8</v>
      </c>
      <c r="C1279" s="9" t="s">
        <v>74</v>
      </c>
      <c r="D1279" s="112">
        <v>0.17</v>
      </c>
      <c r="E1279" s="45">
        <f t="shared" si="73"/>
        <v>1.3124980698557796E-2</v>
      </c>
      <c r="F1279" s="45"/>
      <c r="G1279" s="45"/>
      <c r="H1279" s="104">
        <v>12.952400000000001</v>
      </c>
      <c r="I1279" s="59"/>
      <c r="J1279" s="78">
        <v>8</v>
      </c>
      <c r="K1279" s="9" t="s">
        <v>566</v>
      </c>
      <c r="L1279" s="112">
        <v>0.95</v>
      </c>
      <c r="M1279" s="45">
        <f t="shared" si="74"/>
        <v>1.4928187560891291E-2</v>
      </c>
      <c r="N1279" s="104">
        <v>63.637999999999998</v>
      </c>
      <c r="P1279" s="15"/>
      <c r="Q1279" s="15"/>
      <c r="R1279" s="15"/>
      <c r="S1279" s="15"/>
      <c r="T1279" s="15"/>
      <c r="U1279" s="15"/>
      <c r="V1279" s="15"/>
      <c r="W1279" s="15"/>
      <c r="X1279" s="15"/>
      <c r="Y1279" s="15"/>
      <c r="Z1279" s="15"/>
    </row>
    <row r="1280" spans="2:26" ht="14" customHeight="1" x14ac:dyDescent="0.25">
      <c r="B1280" s="78">
        <v>9</v>
      </c>
      <c r="C1280" s="9" t="s">
        <v>606</v>
      </c>
      <c r="D1280" s="112">
        <v>0.17</v>
      </c>
      <c r="E1280" s="45">
        <f t="shared" si="73"/>
        <v>1.3124980698557796E-2</v>
      </c>
      <c r="F1280" s="45"/>
      <c r="G1280" s="45"/>
      <c r="H1280" s="104">
        <v>12.952400000000001</v>
      </c>
      <c r="I1280" s="59"/>
      <c r="J1280" s="78">
        <v>9</v>
      </c>
      <c r="K1280" s="9" t="s">
        <v>606</v>
      </c>
      <c r="L1280" s="112">
        <v>0.92</v>
      </c>
      <c r="M1280" s="45">
        <f t="shared" si="74"/>
        <v>1.4456771111599988E-2</v>
      </c>
      <c r="N1280" s="104">
        <v>63.637999999999998</v>
      </c>
      <c r="P1280" s="15"/>
      <c r="Q1280" s="15"/>
      <c r="R1280" s="15"/>
      <c r="S1280" s="15"/>
      <c r="T1280" s="15"/>
      <c r="U1280" s="15"/>
      <c r="V1280" s="15"/>
      <c r="W1280" s="15"/>
      <c r="X1280" s="15"/>
      <c r="Y1280" s="15"/>
      <c r="Z1280" s="15"/>
    </row>
    <row r="1281" spans="2:26" ht="14" customHeight="1" x14ac:dyDescent="0.25">
      <c r="B1281" s="80">
        <v>10</v>
      </c>
      <c r="C1281" s="110" t="s">
        <v>590</v>
      </c>
      <c r="D1281" s="114">
        <v>0.15</v>
      </c>
      <c r="E1281" s="116">
        <f t="shared" si="73"/>
        <v>1.1583011583011582E-2</v>
      </c>
      <c r="F1281" s="116"/>
      <c r="G1281" s="116"/>
      <c r="H1281" s="105">
        <v>12.95</v>
      </c>
      <c r="I1281" s="59"/>
      <c r="J1281" s="80">
        <v>10</v>
      </c>
      <c r="K1281" s="110" t="s">
        <v>357</v>
      </c>
      <c r="L1281" s="114">
        <v>0.85</v>
      </c>
      <c r="M1281" s="116">
        <f t="shared" si="74"/>
        <v>1.3356379635449403E-2</v>
      </c>
      <c r="N1281" s="105">
        <v>63.64</v>
      </c>
      <c r="P1281" s="15"/>
      <c r="Q1281" s="15"/>
      <c r="R1281" s="15"/>
      <c r="S1281" s="15"/>
      <c r="T1281" s="15"/>
      <c r="U1281" s="15"/>
      <c r="V1281" s="15"/>
      <c r="W1281" s="15"/>
      <c r="X1281" s="15"/>
      <c r="Y1281" s="15"/>
      <c r="Z1281" s="15"/>
    </row>
    <row r="1282" spans="2:26" ht="14" customHeight="1" x14ac:dyDescent="0.25">
      <c r="D1282" s="48"/>
      <c r="E1282" s="16"/>
      <c r="F1282" s="16"/>
      <c r="G1282" s="16"/>
      <c r="L1282" s="48"/>
      <c r="M1282" s="16"/>
      <c r="O1282" s="49"/>
      <c r="P1282" s="15"/>
      <c r="Q1282" s="15"/>
      <c r="R1282" s="15"/>
      <c r="S1282" s="15"/>
      <c r="T1282" s="15"/>
      <c r="U1282" s="15"/>
      <c r="V1282" s="15"/>
      <c r="W1282" s="15"/>
      <c r="X1282" s="15"/>
      <c r="Y1282" s="15"/>
      <c r="Z1282" s="15"/>
    </row>
    <row r="1283" spans="2:26" ht="14" customHeight="1" x14ac:dyDescent="0.25">
      <c r="D1283" s="48"/>
      <c r="E1283" s="16"/>
      <c r="F1283" s="16"/>
      <c r="G1283" s="16"/>
      <c r="L1283" s="48"/>
      <c r="M1283" s="16"/>
      <c r="O1283" s="234"/>
      <c r="P1283" s="15"/>
      <c r="Q1283" s="15"/>
      <c r="R1283" s="15"/>
      <c r="S1283" s="15"/>
      <c r="T1283" s="15"/>
      <c r="U1283" s="15"/>
      <c r="V1283" s="15"/>
      <c r="W1283" s="15"/>
      <c r="X1283" s="15"/>
      <c r="Y1283" s="15"/>
      <c r="Z1283" s="15"/>
    </row>
    <row r="1284" spans="2:26" ht="14" customHeight="1" x14ac:dyDescent="0.25">
      <c r="B1284" s="15" t="s">
        <v>629</v>
      </c>
      <c r="D1284" s="48"/>
      <c r="E1284" s="16"/>
      <c r="F1284" s="16"/>
      <c r="G1284" s="16"/>
      <c r="J1284" s="15" t="s">
        <v>630</v>
      </c>
      <c r="L1284" s="48"/>
      <c r="M1284" s="16"/>
      <c r="O1284" s="234"/>
      <c r="P1284" s="15"/>
      <c r="Q1284" s="15"/>
      <c r="R1284" s="15"/>
      <c r="S1284" s="15"/>
      <c r="T1284" s="15"/>
      <c r="U1284" s="15"/>
      <c r="V1284" s="15"/>
      <c r="W1284" s="15"/>
      <c r="X1284" s="15"/>
      <c r="Y1284" s="15"/>
      <c r="Z1284" s="15"/>
    </row>
    <row r="1285" spans="2:26" ht="14" customHeight="1" x14ac:dyDescent="0.25">
      <c r="B1285" s="83" t="s">
        <v>582</v>
      </c>
      <c r="C1285" s="85" t="s">
        <v>335</v>
      </c>
      <c r="D1285" s="87" t="s">
        <v>583</v>
      </c>
      <c r="E1285" s="107" t="s">
        <v>337</v>
      </c>
      <c r="F1285" s="107"/>
      <c r="G1285" s="107"/>
      <c r="H1285" s="108" t="s">
        <v>584</v>
      </c>
      <c r="I1285" s="59"/>
      <c r="J1285" s="83" t="s">
        <v>582</v>
      </c>
      <c r="K1285" s="85" t="s">
        <v>335</v>
      </c>
      <c r="L1285" s="87" t="s">
        <v>583</v>
      </c>
      <c r="M1285" s="107" t="s">
        <v>337</v>
      </c>
      <c r="N1285" s="108" t="s">
        <v>587</v>
      </c>
      <c r="O1285" s="234"/>
      <c r="P1285" s="15"/>
      <c r="Q1285" s="15"/>
      <c r="R1285" s="15"/>
      <c r="S1285" s="15"/>
      <c r="T1285" s="15"/>
      <c r="U1285" s="15"/>
      <c r="V1285" s="15"/>
      <c r="W1285" s="15"/>
      <c r="X1285" s="15"/>
      <c r="Y1285" s="15"/>
      <c r="Z1285" s="15"/>
    </row>
    <row r="1286" spans="2:26" ht="14" customHeight="1" x14ac:dyDescent="0.25">
      <c r="B1286" s="78">
        <v>1</v>
      </c>
      <c r="C1286" s="9" t="s">
        <v>68</v>
      </c>
      <c r="D1286" s="112">
        <v>5.19</v>
      </c>
      <c r="E1286" s="45">
        <f t="shared" ref="E1286:E1295" si="75">D1286/H1286</f>
        <v>0.48897221620297532</v>
      </c>
      <c r="F1286" s="45"/>
      <c r="G1286" s="45"/>
      <c r="H1286" s="104">
        <v>10.614100000000001</v>
      </c>
      <c r="I1286" s="59"/>
      <c r="J1286" s="78">
        <v>1</v>
      </c>
      <c r="K1286" s="9" t="s">
        <v>68</v>
      </c>
      <c r="L1286" s="112">
        <v>25</v>
      </c>
      <c r="M1286" s="45">
        <f t="shared" ref="M1286:M1295" si="76">L1286/N1286</f>
        <v>0.49323673785059269</v>
      </c>
      <c r="N1286" s="104">
        <v>50.685600000000001</v>
      </c>
      <c r="O1286" s="234"/>
      <c r="P1286" s="15"/>
      <c r="Q1286" s="15"/>
      <c r="R1286" s="15"/>
      <c r="S1286" s="15"/>
      <c r="T1286" s="15"/>
      <c r="U1286" s="15"/>
      <c r="V1286" s="15"/>
      <c r="W1286" s="15"/>
      <c r="X1286" s="15"/>
      <c r="Y1286" s="15"/>
      <c r="Z1286" s="15"/>
    </row>
    <row r="1287" spans="2:26" ht="14" customHeight="1" x14ac:dyDescent="0.25">
      <c r="B1287" s="78">
        <v>2</v>
      </c>
      <c r="C1287" s="9" t="s">
        <v>69</v>
      </c>
      <c r="D1287" s="112">
        <v>1.57</v>
      </c>
      <c r="E1287" s="45">
        <f t="shared" si="75"/>
        <v>0.14791645075889617</v>
      </c>
      <c r="F1287" s="45"/>
      <c r="G1287" s="45"/>
      <c r="H1287" s="104">
        <v>10.614100000000001</v>
      </c>
      <c r="I1287" s="59"/>
      <c r="J1287" s="78">
        <v>2</v>
      </c>
      <c r="K1287" s="9" t="s">
        <v>69</v>
      </c>
      <c r="L1287" s="112">
        <v>7.45</v>
      </c>
      <c r="M1287" s="45">
        <f t="shared" si="76"/>
        <v>0.14698454787947662</v>
      </c>
      <c r="N1287" s="104">
        <v>50.685600000000001</v>
      </c>
      <c r="O1287" s="234"/>
      <c r="P1287" s="15"/>
      <c r="Q1287" s="15"/>
      <c r="R1287" s="15"/>
      <c r="S1287" s="15"/>
      <c r="T1287" s="15"/>
      <c r="U1287" s="15"/>
      <c r="V1287" s="15"/>
      <c r="W1287" s="15"/>
      <c r="X1287" s="15"/>
      <c r="Y1287" s="15"/>
      <c r="Z1287" s="15"/>
    </row>
    <row r="1288" spans="2:26" ht="14" customHeight="1" x14ac:dyDescent="0.25">
      <c r="B1288" s="78">
        <v>3</v>
      </c>
      <c r="C1288" s="9" t="s">
        <v>601</v>
      </c>
      <c r="D1288" s="112">
        <v>0.84</v>
      </c>
      <c r="E1288" s="45">
        <f t="shared" si="75"/>
        <v>7.9140011871001767E-2</v>
      </c>
      <c r="F1288" s="45"/>
      <c r="G1288" s="45"/>
      <c r="H1288" s="104">
        <v>10.614100000000001</v>
      </c>
      <c r="I1288" s="59"/>
      <c r="J1288" s="78">
        <v>3</v>
      </c>
      <c r="K1288" s="9" t="s">
        <v>601</v>
      </c>
      <c r="L1288" s="112">
        <v>4.0999999999999996</v>
      </c>
      <c r="M1288" s="45">
        <f t="shared" si="76"/>
        <v>8.0890825007497197E-2</v>
      </c>
      <c r="N1288" s="104">
        <v>50.685600000000001</v>
      </c>
      <c r="O1288" s="234"/>
      <c r="P1288" s="15"/>
      <c r="Q1288" s="15"/>
      <c r="R1288" s="15"/>
      <c r="S1288" s="15"/>
      <c r="T1288" s="15"/>
      <c r="U1288" s="15"/>
      <c r="V1288" s="15"/>
      <c r="W1288" s="15"/>
      <c r="X1288" s="15"/>
      <c r="Y1288" s="15"/>
      <c r="Z1288" s="15"/>
    </row>
    <row r="1289" spans="2:26" ht="14" customHeight="1" x14ac:dyDescent="0.25">
      <c r="B1289" s="78">
        <v>4</v>
      </c>
      <c r="C1289" s="9" t="s">
        <v>595</v>
      </c>
      <c r="D1289" s="112">
        <v>0.64</v>
      </c>
      <c r="E1289" s="45">
        <f t="shared" si="75"/>
        <v>6.029715190171564E-2</v>
      </c>
      <c r="F1289" s="45"/>
      <c r="G1289" s="45"/>
      <c r="H1289" s="104">
        <v>10.614100000000001</v>
      </c>
      <c r="I1289" s="59"/>
      <c r="J1289" s="78">
        <v>4</v>
      </c>
      <c r="K1289" s="9" t="s">
        <v>595</v>
      </c>
      <c r="L1289" s="112">
        <v>2.76</v>
      </c>
      <c r="M1289" s="45">
        <f t="shared" si="76"/>
        <v>5.4453335858705425E-2</v>
      </c>
      <c r="N1289" s="104">
        <v>50.685600000000001</v>
      </c>
      <c r="O1289" s="234"/>
      <c r="P1289" s="15"/>
      <c r="Q1289" s="15"/>
      <c r="R1289" s="15"/>
      <c r="S1289" s="15"/>
      <c r="T1289" s="15"/>
      <c r="U1289" s="15"/>
      <c r="V1289" s="15"/>
      <c r="W1289" s="15"/>
      <c r="X1289" s="15"/>
      <c r="Y1289" s="15"/>
      <c r="Z1289" s="15"/>
    </row>
    <row r="1290" spans="2:26" ht="14" customHeight="1" x14ac:dyDescent="0.25">
      <c r="B1290" s="78">
        <v>5</v>
      </c>
      <c r="C1290" s="9" t="s">
        <v>631</v>
      </c>
      <c r="D1290" s="112">
        <v>0.62</v>
      </c>
      <c r="E1290" s="45">
        <f t="shared" si="75"/>
        <v>5.8412865904787024E-2</v>
      </c>
      <c r="F1290" s="45"/>
      <c r="G1290" s="45"/>
      <c r="H1290" s="104">
        <v>10.614100000000001</v>
      </c>
      <c r="I1290" s="59"/>
      <c r="J1290" s="78">
        <v>5</v>
      </c>
      <c r="K1290" s="9" t="s">
        <v>631</v>
      </c>
      <c r="L1290" s="112">
        <v>2.37</v>
      </c>
      <c r="M1290" s="45">
        <f t="shared" si="76"/>
        <v>4.675884274823619E-2</v>
      </c>
      <c r="N1290" s="104">
        <v>50.685600000000001</v>
      </c>
      <c r="O1290" s="234"/>
      <c r="P1290" s="15"/>
      <c r="Q1290" s="15"/>
      <c r="R1290" s="15"/>
      <c r="S1290" s="15"/>
      <c r="T1290" s="15"/>
      <c r="U1290" s="15"/>
      <c r="V1290" s="15"/>
      <c r="W1290" s="15"/>
      <c r="X1290" s="15"/>
      <c r="Y1290" s="15"/>
      <c r="Z1290" s="15"/>
    </row>
    <row r="1291" spans="2:26" ht="14" customHeight="1" x14ac:dyDescent="0.25">
      <c r="B1291" s="78">
        <v>6</v>
      </c>
      <c r="C1291" s="9" t="s">
        <v>566</v>
      </c>
      <c r="D1291" s="112">
        <v>0.22</v>
      </c>
      <c r="E1291" s="45">
        <f t="shared" si="75"/>
        <v>2.0727145966214749E-2</v>
      </c>
      <c r="F1291" s="45"/>
      <c r="G1291" s="45"/>
      <c r="H1291" s="104">
        <v>10.614100000000001</v>
      </c>
      <c r="I1291" s="59"/>
      <c r="J1291" s="78">
        <v>6</v>
      </c>
      <c r="K1291" s="9" t="s">
        <v>72</v>
      </c>
      <c r="L1291" s="112">
        <v>2.23</v>
      </c>
      <c r="M1291" s="45">
        <f t="shared" si="76"/>
        <v>4.3996717016272863E-2</v>
      </c>
      <c r="N1291" s="104">
        <v>50.685600000000001</v>
      </c>
      <c r="O1291" s="234"/>
      <c r="P1291" s="15"/>
      <c r="Q1291" s="15"/>
      <c r="R1291" s="15"/>
      <c r="S1291" s="15"/>
      <c r="T1291" s="15"/>
      <c r="U1291" s="15"/>
      <c r="V1291" s="15"/>
      <c r="W1291" s="15"/>
      <c r="X1291" s="15"/>
      <c r="Y1291" s="15"/>
      <c r="Z1291" s="15"/>
    </row>
    <row r="1292" spans="2:26" ht="14" customHeight="1" x14ac:dyDescent="0.25">
      <c r="B1292" s="78">
        <v>7</v>
      </c>
      <c r="C1292" s="9" t="s">
        <v>72</v>
      </c>
      <c r="D1292" s="112">
        <v>0.19</v>
      </c>
      <c r="E1292" s="45">
        <f t="shared" si="75"/>
        <v>1.790071697082183E-2</v>
      </c>
      <c r="F1292" s="45"/>
      <c r="G1292" s="45"/>
      <c r="H1292" s="104">
        <v>10.614100000000001</v>
      </c>
      <c r="I1292" s="59"/>
      <c r="J1292" s="78">
        <v>7</v>
      </c>
      <c r="K1292" s="9" t="s">
        <v>73</v>
      </c>
      <c r="L1292" s="112">
        <v>0.87</v>
      </c>
      <c r="M1292" s="45">
        <f t="shared" si="76"/>
        <v>1.7164638477200626E-2</v>
      </c>
      <c r="N1292" s="104">
        <v>50.685600000000001</v>
      </c>
      <c r="O1292" s="234"/>
      <c r="P1292" s="15"/>
      <c r="Q1292" s="15"/>
      <c r="R1292" s="15"/>
      <c r="S1292" s="15"/>
      <c r="T1292" s="15"/>
      <c r="U1292" s="15"/>
      <c r="V1292" s="15"/>
      <c r="W1292" s="15"/>
      <c r="X1292" s="15"/>
      <c r="Y1292" s="15"/>
      <c r="Z1292" s="15"/>
    </row>
    <row r="1293" spans="2:26" ht="14" customHeight="1" x14ac:dyDescent="0.25">
      <c r="B1293" s="78">
        <v>8</v>
      </c>
      <c r="C1293" s="9" t="s">
        <v>357</v>
      </c>
      <c r="D1293" s="112">
        <v>0.17</v>
      </c>
      <c r="E1293" s="45">
        <f t="shared" si="75"/>
        <v>1.6016430973893218E-2</v>
      </c>
      <c r="F1293" s="45"/>
      <c r="G1293" s="45"/>
      <c r="H1293" s="104">
        <v>10.614100000000001</v>
      </c>
      <c r="I1293" s="59"/>
      <c r="J1293" s="78">
        <v>8</v>
      </c>
      <c r="K1293" s="9" t="s">
        <v>632</v>
      </c>
      <c r="L1293" s="112">
        <v>0.75</v>
      </c>
      <c r="M1293" s="45">
        <f t="shared" si="76"/>
        <v>1.4797102135517781E-2</v>
      </c>
      <c r="N1293" s="104">
        <v>50.685600000000001</v>
      </c>
      <c r="P1293" s="15"/>
      <c r="Q1293" s="15"/>
      <c r="R1293" s="15"/>
      <c r="S1293" s="15"/>
      <c r="T1293" s="15"/>
      <c r="U1293" s="15"/>
      <c r="V1293" s="15"/>
      <c r="W1293" s="15"/>
      <c r="X1293" s="15"/>
      <c r="Y1293" s="15"/>
      <c r="Z1293" s="15"/>
    </row>
    <row r="1294" spans="2:26" ht="14" customHeight="1" x14ac:dyDescent="0.25">
      <c r="B1294" s="78">
        <v>9</v>
      </c>
      <c r="C1294" s="9" t="s">
        <v>73</v>
      </c>
      <c r="D1294" s="112">
        <v>0.17</v>
      </c>
      <c r="E1294" s="45">
        <f t="shared" si="75"/>
        <v>1.6016430973893218E-2</v>
      </c>
      <c r="F1294" s="45"/>
      <c r="G1294" s="45"/>
      <c r="H1294" s="104">
        <v>10.614100000000001</v>
      </c>
      <c r="I1294" s="59"/>
      <c r="J1294" s="78">
        <v>9</v>
      </c>
      <c r="K1294" s="9" t="s">
        <v>357</v>
      </c>
      <c r="L1294" s="112">
        <v>0.66</v>
      </c>
      <c r="M1294" s="45">
        <f t="shared" si="76"/>
        <v>1.3021449879255647E-2</v>
      </c>
      <c r="N1294" s="104">
        <v>50.685600000000001</v>
      </c>
      <c r="P1294" s="15"/>
      <c r="Q1294" s="15"/>
      <c r="R1294" s="15"/>
      <c r="S1294" s="15"/>
      <c r="T1294" s="15"/>
      <c r="U1294" s="15"/>
      <c r="V1294" s="15"/>
      <c r="W1294" s="15"/>
      <c r="X1294" s="15"/>
      <c r="Y1294" s="15"/>
      <c r="Z1294" s="15"/>
    </row>
    <row r="1295" spans="2:26" ht="14" customHeight="1" x14ac:dyDescent="0.25">
      <c r="B1295" s="80">
        <v>10</v>
      </c>
      <c r="C1295" s="110" t="s">
        <v>606</v>
      </c>
      <c r="D1295" s="114">
        <v>0.16</v>
      </c>
      <c r="E1295" s="116">
        <f t="shared" si="75"/>
        <v>1.5080113100848258E-2</v>
      </c>
      <c r="F1295" s="116"/>
      <c r="G1295" s="116"/>
      <c r="H1295" s="105">
        <v>10.61</v>
      </c>
      <c r="I1295" s="59"/>
      <c r="J1295" s="80">
        <v>10</v>
      </c>
      <c r="K1295" s="110" t="s">
        <v>566</v>
      </c>
      <c r="L1295" s="114">
        <v>0.62</v>
      </c>
      <c r="M1295" s="116">
        <f t="shared" si="76"/>
        <v>1.2231209311501283E-2</v>
      </c>
      <c r="N1295" s="105">
        <v>50.69</v>
      </c>
      <c r="P1295" s="15"/>
      <c r="Q1295" s="15"/>
      <c r="R1295" s="15"/>
      <c r="S1295" s="15"/>
      <c r="T1295" s="15"/>
      <c r="U1295" s="15"/>
      <c r="V1295" s="15"/>
      <c r="W1295" s="15"/>
      <c r="X1295" s="15"/>
      <c r="Y1295" s="15"/>
      <c r="Z1295" s="15"/>
    </row>
    <row r="1296" spans="2:26" ht="14" customHeight="1" x14ac:dyDescent="0.25">
      <c r="D1296" s="48"/>
      <c r="E1296" s="16"/>
      <c r="F1296" s="16"/>
      <c r="G1296" s="16"/>
      <c r="L1296" s="48"/>
      <c r="M1296" s="16"/>
      <c r="O1296" s="49"/>
      <c r="P1296" s="15"/>
      <c r="Q1296" s="15"/>
      <c r="R1296" s="15"/>
      <c r="S1296" s="15"/>
      <c r="T1296" s="15"/>
      <c r="U1296" s="15"/>
      <c r="V1296" s="15"/>
      <c r="W1296" s="15"/>
      <c r="X1296" s="15"/>
      <c r="Y1296" s="15"/>
      <c r="Z1296" s="15"/>
    </row>
    <row r="1297" spans="2:26" ht="14" customHeight="1" x14ac:dyDescent="0.25">
      <c r="D1297" s="48"/>
      <c r="E1297" s="16"/>
      <c r="F1297" s="16"/>
      <c r="G1297" s="16"/>
      <c r="L1297" s="48"/>
      <c r="M1297" s="16"/>
      <c r="O1297" s="234"/>
      <c r="P1297" s="15"/>
      <c r="Q1297" s="15"/>
      <c r="R1297" s="15"/>
      <c r="S1297" s="15"/>
      <c r="T1297" s="15"/>
      <c r="U1297" s="15"/>
      <c r="V1297" s="15"/>
      <c r="W1297" s="15"/>
      <c r="X1297" s="15"/>
      <c r="Y1297" s="15"/>
      <c r="Z1297" s="15"/>
    </row>
    <row r="1298" spans="2:26" ht="14" customHeight="1" x14ac:dyDescent="0.25">
      <c r="B1298" s="15" t="s">
        <v>633</v>
      </c>
      <c r="D1298" s="48"/>
      <c r="E1298" s="16"/>
      <c r="F1298" s="16"/>
      <c r="G1298" s="16"/>
      <c r="J1298" s="15" t="s">
        <v>634</v>
      </c>
      <c r="L1298" s="48"/>
      <c r="M1298" s="16"/>
      <c r="O1298" s="234"/>
      <c r="P1298" s="15"/>
      <c r="Q1298" s="15"/>
      <c r="R1298" s="15"/>
      <c r="S1298" s="15"/>
      <c r="T1298" s="15"/>
      <c r="U1298" s="15"/>
      <c r="V1298" s="15"/>
      <c r="W1298" s="15"/>
      <c r="X1298" s="15"/>
      <c r="Y1298" s="15"/>
      <c r="Z1298" s="15"/>
    </row>
    <row r="1299" spans="2:26" ht="14" customHeight="1" x14ac:dyDescent="0.25">
      <c r="B1299" s="83" t="s">
        <v>582</v>
      </c>
      <c r="C1299" s="85" t="s">
        <v>335</v>
      </c>
      <c r="D1299" s="87" t="s">
        <v>583</v>
      </c>
      <c r="E1299" s="107" t="s">
        <v>337</v>
      </c>
      <c r="F1299" s="107"/>
      <c r="G1299" s="107"/>
      <c r="H1299" s="108" t="s">
        <v>584</v>
      </c>
      <c r="I1299" s="59"/>
      <c r="J1299" s="83" t="s">
        <v>582</v>
      </c>
      <c r="K1299" s="85" t="s">
        <v>335</v>
      </c>
      <c r="L1299" s="87" t="s">
        <v>583</v>
      </c>
      <c r="M1299" s="107" t="s">
        <v>337</v>
      </c>
      <c r="N1299" s="108" t="s">
        <v>587</v>
      </c>
      <c r="O1299" s="234"/>
      <c r="P1299" s="15"/>
      <c r="Q1299" s="15"/>
      <c r="R1299" s="15"/>
      <c r="S1299" s="15"/>
      <c r="T1299" s="15"/>
      <c r="U1299" s="15"/>
      <c r="V1299" s="15"/>
      <c r="W1299" s="15"/>
      <c r="X1299" s="15"/>
      <c r="Y1299" s="15"/>
      <c r="Z1299" s="15"/>
    </row>
    <row r="1300" spans="2:26" ht="14" customHeight="1" x14ac:dyDescent="0.25">
      <c r="B1300" s="78">
        <v>1</v>
      </c>
      <c r="C1300" s="9" t="s">
        <v>68</v>
      </c>
      <c r="D1300" s="112">
        <v>3.06</v>
      </c>
      <c r="E1300" s="45">
        <f t="shared" ref="E1300:E1309" si="77">D1300/H1300</f>
        <v>0.52152571837611206</v>
      </c>
      <c r="F1300" s="45"/>
      <c r="G1300" s="45"/>
      <c r="H1300" s="104">
        <v>5.8673999999999999</v>
      </c>
      <c r="I1300" s="59"/>
      <c r="J1300" s="78">
        <v>1</v>
      </c>
      <c r="K1300" s="9" t="s">
        <v>68</v>
      </c>
      <c r="L1300" s="112">
        <v>19.8</v>
      </c>
      <c r="M1300" s="45">
        <f t="shared" ref="M1300:M1309" si="78">L1300/N1300</f>
        <v>0.49411676628027401</v>
      </c>
      <c r="N1300" s="104">
        <v>40.0715</v>
      </c>
      <c r="O1300" s="234"/>
      <c r="P1300" s="15"/>
      <c r="Q1300" s="15"/>
      <c r="R1300" s="15"/>
      <c r="S1300" s="15"/>
      <c r="T1300" s="15"/>
      <c r="U1300" s="15"/>
      <c r="V1300" s="15"/>
      <c r="W1300" s="15"/>
      <c r="X1300" s="15"/>
      <c r="Y1300" s="15"/>
      <c r="Z1300" s="15"/>
    </row>
    <row r="1301" spans="2:26" ht="14" customHeight="1" x14ac:dyDescent="0.25">
      <c r="B1301" s="78">
        <v>2</v>
      </c>
      <c r="C1301" s="9" t="s">
        <v>69</v>
      </c>
      <c r="D1301" s="112">
        <v>1</v>
      </c>
      <c r="E1301" s="45">
        <f t="shared" si="77"/>
        <v>0.17043324129938303</v>
      </c>
      <c r="F1301" s="45"/>
      <c r="G1301" s="45"/>
      <c r="H1301" s="104">
        <v>5.8673999999999999</v>
      </c>
      <c r="I1301" s="59"/>
      <c r="J1301" s="78">
        <v>2</v>
      </c>
      <c r="K1301" s="9" t="s">
        <v>69</v>
      </c>
      <c r="L1301" s="112">
        <v>5.88</v>
      </c>
      <c r="M1301" s="45">
        <f t="shared" si="78"/>
        <v>0.14673770634989955</v>
      </c>
      <c r="N1301" s="104">
        <v>40.0715</v>
      </c>
      <c r="O1301" s="234"/>
      <c r="P1301" s="15"/>
      <c r="Q1301" s="15"/>
      <c r="R1301" s="15"/>
      <c r="S1301" s="15"/>
      <c r="T1301" s="15"/>
      <c r="U1301" s="15"/>
      <c r="V1301" s="15"/>
      <c r="W1301" s="15"/>
      <c r="X1301" s="15"/>
      <c r="Y1301" s="15"/>
      <c r="Z1301" s="15"/>
    </row>
    <row r="1302" spans="2:26" ht="14" customHeight="1" x14ac:dyDescent="0.25">
      <c r="B1302" s="78">
        <v>3</v>
      </c>
      <c r="C1302" s="9" t="s">
        <v>595</v>
      </c>
      <c r="D1302" s="112">
        <v>0.43</v>
      </c>
      <c r="E1302" s="45">
        <f t="shared" si="77"/>
        <v>7.3286293758734702E-2</v>
      </c>
      <c r="F1302" s="45"/>
      <c r="G1302" s="45"/>
      <c r="H1302" s="104">
        <v>5.8673999999999999</v>
      </c>
      <c r="I1302" s="59"/>
      <c r="J1302" s="78">
        <v>3</v>
      </c>
      <c r="K1302" s="9" t="s">
        <v>601</v>
      </c>
      <c r="L1302" s="112">
        <v>3.26</v>
      </c>
      <c r="M1302" s="45">
        <f t="shared" si="78"/>
        <v>8.1354578690590568E-2</v>
      </c>
      <c r="N1302" s="104">
        <v>40.0715</v>
      </c>
      <c r="O1302" s="234"/>
      <c r="P1302" s="15"/>
      <c r="Q1302" s="15"/>
      <c r="R1302" s="15"/>
      <c r="S1302" s="15"/>
      <c r="T1302" s="15"/>
      <c r="U1302" s="15"/>
      <c r="V1302" s="15"/>
      <c r="W1302" s="15"/>
      <c r="X1302" s="15"/>
      <c r="Y1302" s="15"/>
      <c r="Z1302" s="15"/>
    </row>
    <row r="1303" spans="2:26" ht="14" customHeight="1" x14ac:dyDescent="0.25">
      <c r="B1303" s="78">
        <v>4</v>
      </c>
      <c r="C1303" s="9" t="s">
        <v>631</v>
      </c>
      <c r="D1303" s="112">
        <v>0.31</v>
      </c>
      <c r="E1303" s="45">
        <f t="shared" si="77"/>
        <v>5.2834304802808742E-2</v>
      </c>
      <c r="F1303" s="45"/>
      <c r="G1303" s="45"/>
      <c r="H1303" s="104">
        <v>5.8673999999999999</v>
      </c>
      <c r="I1303" s="59"/>
      <c r="J1303" s="78">
        <v>4</v>
      </c>
      <c r="K1303" s="9" t="s">
        <v>595</v>
      </c>
      <c r="L1303" s="112">
        <v>2.12</v>
      </c>
      <c r="M1303" s="45">
        <f t="shared" si="78"/>
        <v>5.2905431541120249E-2</v>
      </c>
      <c r="N1303" s="104">
        <v>40.0715</v>
      </c>
      <c r="O1303" s="234"/>
      <c r="P1303" s="15"/>
      <c r="Q1303" s="15"/>
      <c r="R1303" s="15"/>
      <c r="S1303" s="15"/>
      <c r="T1303" s="15"/>
      <c r="U1303" s="15"/>
      <c r="V1303" s="15"/>
      <c r="W1303" s="15"/>
      <c r="X1303" s="15"/>
      <c r="Y1303" s="15"/>
      <c r="Z1303" s="15"/>
    </row>
    <row r="1304" spans="2:26" ht="14" customHeight="1" x14ac:dyDescent="0.25">
      <c r="B1304" s="78">
        <v>5</v>
      </c>
      <c r="C1304" s="9" t="s">
        <v>566</v>
      </c>
      <c r="D1304" s="112">
        <v>0.12</v>
      </c>
      <c r="E1304" s="45">
        <f t="shared" si="77"/>
        <v>2.0451988955925964E-2</v>
      </c>
      <c r="F1304" s="45"/>
      <c r="G1304" s="45"/>
      <c r="H1304" s="104">
        <v>5.8673999999999999</v>
      </c>
      <c r="I1304" s="59"/>
      <c r="J1304" s="78">
        <v>5</v>
      </c>
      <c r="K1304" s="9" t="s">
        <v>72</v>
      </c>
      <c r="L1304" s="112">
        <v>2.04</v>
      </c>
      <c r="M1304" s="45">
        <f t="shared" si="78"/>
        <v>5.0909000162210047E-2</v>
      </c>
      <c r="N1304" s="104">
        <v>40.0715</v>
      </c>
      <c r="O1304" s="234"/>
      <c r="P1304" s="15"/>
      <c r="Q1304" s="15"/>
      <c r="R1304" s="15"/>
      <c r="S1304" s="15"/>
      <c r="T1304" s="15"/>
      <c r="U1304" s="15"/>
      <c r="V1304" s="15"/>
      <c r="W1304" s="15"/>
      <c r="X1304" s="15"/>
      <c r="Y1304" s="15"/>
      <c r="Z1304" s="15"/>
    </row>
    <row r="1305" spans="2:26" ht="14" customHeight="1" x14ac:dyDescent="0.25">
      <c r="B1305" s="78">
        <v>6</v>
      </c>
      <c r="C1305" s="9" t="s">
        <v>357</v>
      </c>
      <c r="D1305" s="112">
        <v>0.11</v>
      </c>
      <c r="E1305" s="45">
        <f t="shared" si="77"/>
        <v>1.8747656542932135E-2</v>
      </c>
      <c r="F1305" s="45"/>
      <c r="G1305" s="45"/>
      <c r="H1305" s="104">
        <v>5.8673999999999999</v>
      </c>
      <c r="I1305" s="59"/>
      <c r="J1305" s="78">
        <v>6</v>
      </c>
      <c r="K1305" s="9" t="s">
        <v>631</v>
      </c>
      <c r="L1305" s="112">
        <v>1.75</v>
      </c>
      <c r="M1305" s="45">
        <f t="shared" si="78"/>
        <v>4.3671936413660579E-2</v>
      </c>
      <c r="N1305" s="104">
        <v>40.0715</v>
      </c>
      <c r="O1305" s="234"/>
      <c r="P1305" s="15"/>
      <c r="Q1305" s="15"/>
      <c r="R1305" s="15"/>
      <c r="S1305" s="15"/>
      <c r="T1305" s="15"/>
      <c r="U1305" s="15"/>
      <c r="V1305" s="15"/>
      <c r="W1305" s="15"/>
      <c r="X1305" s="15"/>
      <c r="Y1305" s="15"/>
      <c r="Z1305" s="15"/>
    </row>
    <row r="1306" spans="2:26" ht="14" customHeight="1" x14ac:dyDescent="0.25">
      <c r="B1306" s="78">
        <v>7</v>
      </c>
      <c r="C1306" s="9" t="s">
        <v>509</v>
      </c>
      <c r="D1306" s="112">
        <v>0.1</v>
      </c>
      <c r="E1306" s="45">
        <f t="shared" si="77"/>
        <v>1.7043324129938305E-2</v>
      </c>
      <c r="F1306" s="45"/>
      <c r="G1306" s="45"/>
      <c r="H1306" s="104">
        <v>5.8673999999999999</v>
      </c>
      <c r="I1306" s="59"/>
      <c r="J1306" s="78">
        <v>7</v>
      </c>
      <c r="K1306" s="9" t="s">
        <v>73</v>
      </c>
      <c r="L1306" s="112">
        <v>0.7</v>
      </c>
      <c r="M1306" s="45">
        <f t="shared" si="78"/>
        <v>1.746877456546423E-2</v>
      </c>
      <c r="N1306" s="104">
        <v>40.0715</v>
      </c>
      <c r="O1306" s="234"/>
      <c r="P1306" s="15"/>
      <c r="Q1306" s="15"/>
      <c r="R1306" s="15"/>
      <c r="S1306" s="15"/>
      <c r="T1306" s="15"/>
      <c r="U1306" s="15"/>
      <c r="V1306" s="15"/>
      <c r="W1306" s="15"/>
      <c r="X1306" s="15"/>
      <c r="Y1306" s="15"/>
      <c r="Z1306" s="15"/>
    </row>
    <row r="1307" spans="2:26" ht="14" customHeight="1" x14ac:dyDescent="0.25">
      <c r="B1307" s="78">
        <v>8</v>
      </c>
      <c r="C1307" s="9" t="s">
        <v>606</v>
      </c>
      <c r="D1307" s="112">
        <v>0.09</v>
      </c>
      <c r="E1307" s="45">
        <f t="shared" si="77"/>
        <v>1.5338991716944472E-2</v>
      </c>
      <c r="F1307" s="45"/>
      <c r="G1307" s="45"/>
      <c r="H1307" s="104">
        <v>5.8673999999999999</v>
      </c>
      <c r="I1307" s="59"/>
      <c r="J1307" s="78">
        <v>8</v>
      </c>
      <c r="K1307" s="9" t="s">
        <v>606</v>
      </c>
      <c r="L1307" s="112">
        <v>0.59</v>
      </c>
      <c r="M1307" s="45">
        <f t="shared" si="78"/>
        <v>1.472368141946271E-2</v>
      </c>
      <c r="N1307" s="104">
        <v>40.0715</v>
      </c>
      <c r="P1307" s="15"/>
      <c r="Q1307" s="15"/>
      <c r="R1307" s="15"/>
      <c r="S1307" s="15"/>
      <c r="T1307" s="15"/>
      <c r="U1307" s="15"/>
      <c r="V1307" s="15"/>
      <c r="W1307" s="15"/>
      <c r="X1307" s="15"/>
      <c r="Y1307" s="15"/>
      <c r="Z1307" s="15"/>
    </row>
    <row r="1308" spans="2:26" ht="14" customHeight="1" x14ac:dyDescent="0.25">
      <c r="B1308" s="78">
        <v>9</v>
      </c>
      <c r="C1308" s="9" t="s">
        <v>74</v>
      </c>
      <c r="D1308" s="112">
        <v>0.09</v>
      </c>
      <c r="E1308" s="45">
        <f t="shared" si="77"/>
        <v>1.5338991716944472E-2</v>
      </c>
      <c r="F1308" s="45"/>
      <c r="G1308" s="45"/>
      <c r="H1308" s="104">
        <v>5.8673999999999999</v>
      </c>
      <c r="I1308" s="59"/>
      <c r="J1308" s="78">
        <v>9</v>
      </c>
      <c r="K1308" s="9" t="s">
        <v>357</v>
      </c>
      <c r="L1308" s="112">
        <v>0.49</v>
      </c>
      <c r="M1308" s="45">
        <f t="shared" si="78"/>
        <v>1.2228142195824963E-2</v>
      </c>
      <c r="N1308" s="104">
        <v>40.0715</v>
      </c>
      <c r="P1308" s="15"/>
      <c r="Q1308" s="15"/>
      <c r="R1308" s="15"/>
      <c r="S1308" s="15"/>
      <c r="T1308" s="15"/>
      <c r="U1308" s="15"/>
      <c r="V1308" s="15"/>
      <c r="W1308" s="15"/>
      <c r="X1308" s="15"/>
      <c r="Y1308" s="15"/>
      <c r="Z1308" s="15"/>
    </row>
    <row r="1309" spans="2:26" ht="14" customHeight="1" x14ac:dyDescent="0.25">
      <c r="B1309" s="80">
        <v>10</v>
      </c>
      <c r="C1309" s="110" t="s">
        <v>73</v>
      </c>
      <c r="D1309" s="114">
        <v>0.08</v>
      </c>
      <c r="E1309" s="116">
        <f t="shared" si="77"/>
        <v>1.3628620102214651E-2</v>
      </c>
      <c r="F1309" s="116"/>
      <c r="G1309" s="116"/>
      <c r="H1309" s="105">
        <v>5.87</v>
      </c>
      <c r="I1309" s="59"/>
      <c r="J1309" s="80">
        <v>10</v>
      </c>
      <c r="K1309" s="110" t="s">
        <v>590</v>
      </c>
      <c r="L1309" s="114">
        <v>0.4</v>
      </c>
      <c r="M1309" s="116">
        <f t="shared" si="78"/>
        <v>9.9825305714998751E-3</v>
      </c>
      <c r="N1309" s="105">
        <v>40.07</v>
      </c>
      <c r="P1309" s="15"/>
      <c r="Q1309" s="15"/>
      <c r="R1309" s="15"/>
      <c r="S1309" s="15"/>
      <c r="T1309" s="15"/>
      <c r="U1309" s="15"/>
      <c r="V1309" s="15"/>
      <c r="W1309" s="15"/>
      <c r="X1309" s="15"/>
      <c r="Y1309" s="15"/>
      <c r="Z1309" s="15"/>
    </row>
    <row r="1310" spans="2:26" ht="14" customHeight="1" x14ac:dyDescent="0.25">
      <c r="D1310" s="48"/>
      <c r="E1310" s="16"/>
      <c r="F1310" s="16"/>
      <c r="G1310" s="16"/>
      <c r="L1310" s="48"/>
      <c r="M1310" s="16"/>
      <c r="O1310" s="49"/>
      <c r="P1310" s="15"/>
      <c r="Q1310" s="15"/>
      <c r="R1310" s="15"/>
      <c r="S1310" s="15"/>
      <c r="T1310" s="15"/>
      <c r="U1310" s="15"/>
      <c r="V1310" s="15"/>
      <c r="W1310" s="15"/>
      <c r="X1310" s="15"/>
      <c r="Y1310" s="15"/>
      <c r="Z1310" s="15"/>
    </row>
    <row r="1311" spans="2:26" ht="14" customHeight="1" x14ac:dyDescent="0.25">
      <c r="D1311" s="48"/>
      <c r="E1311" s="16"/>
      <c r="F1311" s="16"/>
      <c r="G1311" s="16"/>
      <c r="L1311" s="48"/>
      <c r="M1311" s="16"/>
      <c r="O1311" s="234"/>
      <c r="P1311" s="15"/>
      <c r="Q1311" s="15"/>
      <c r="R1311" s="15"/>
      <c r="S1311" s="15"/>
      <c r="T1311" s="15"/>
      <c r="U1311" s="15"/>
      <c r="V1311" s="15"/>
      <c r="W1311" s="15"/>
      <c r="X1311" s="15"/>
      <c r="Y1311" s="15"/>
      <c r="Z1311" s="15"/>
    </row>
    <row r="1312" spans="2:26" ht="14" customHeight="1" x14ac:dyDescent="0.25">
      <c r="B1312" s="15" t="s">
        <v>635</v>
      </c>
      <c r="D1312" s="48"/>
      <c r="E1312" s="16"/>
      <c r="F1312" s="16"/>
      <c r="G1312" s="16"/>
      <c r="J1312" s="15" t="s">
        <v>636</v>
      </c>
      <c r="L1312" s="48"/>
      <c r="M1312" s="16"/>
      <c r="O1312" s="234"/>
      <c r="P1312" s="15"/>
      <c r="Q1312" s="15"/>
      <c r="R1312" s="15"/>
      <c r="S1312" s="15"/>
      <c r="T1312" s="15"/>
      <c r="U1312" s="15"/>
      <c r="V1312" s="15"/>
      <c r="W1312" s="15"/>
      <c r="X1312" s="15"/>
      <c r="Y1312" s="15"/>
      <c r="Z1312" s="15"/>
    </row>
    <row r="1313" spans="2:26" ht="14" customHeight="1" x14ac:dyDescent="0.25">
      <c r="B1313" s="83" t="s">
        <v>582</v>
      </c>
      <c r="C1313" s="85" t="s">
        <v>335</v>
      </c>
      <c r="D1313" s="87" t="s">
        <v>583</v>
      </c>
      <c r="E1313" s="107" t="s">
        <v>337</v>
      </c>
      <c r="F1313" s="107"/>
      <c r="G1313" s="107"/>
      <c r="H1313" s="108" t="s">
        <v>584</v>
      </c>
      <c r="I1313" s="59"/>
      <c r="J1313" s="83" t="s">
        <v>582</v>
      </c>
      <c r="K1313" s="85" t="s">
        <v>335</v>
      </c>
      <c r="L1313" s="87" t="s">
        <v>583</v>
      </c>
      <c r="M1313" s="107" t="s">
        <v>337</v>
      </c>
      <c r="N1313" s="108" t="s">
        <v>587</v>
      </c>
      <c r="O1313" s="234"/>
      <c r="P1313" s="15"/>
      <c r="Q1313" s="15"/>
      <c r="R1313" s="15"/>
      <c r="S1313" s="15"/>
      <c r="T1313" s="15"/>
      <c r="U1313" s="15"/>
      <c r="V1313" s="15"/>
      <c r="W1313" s="15"/>
      <c r="X1313" s="15"/>
      <c r="Y1313" s="15"/>
      <c r="Z1313" s="15"/>
    </row>
    <row r="1314" spans="2:26" ht="14" customHeight="1" x14ac:dyDescent="0.25">
      <c r="B1314" s="78">
        <v>1</v>
      </c>
      <c r="C1314" s="9" t="s">
        <v>68</v>
      </c>
      <c r="D1314" s="112">
        <v>3.12</v>
      </c>
      <c r="E1314" s="45">
        <f t="shared" ref="E1314:E1323" si="79">D1314/H1314</f>
        <v>0.47425062321396</v>
      </c>
      <c r="F1314" s="45"/>
      <c r="G1314" s="45"/>
      <c r="H1314" s="104">
        <v>6.5788000000000002</v>
      </c>
      <c r="I1314" s="59"/>
      <c r="J1314" s="78">
        <v>1</v>
      </c>
      <c r="K1314" s="9" t="s">
        <v>68</v>
      </c>
      <c r="L1314" s="112">
        <v>16.75</v>
      </c>
      <c r="M1314" s="45">
        <f t="shared" ref="M1314:M1323" si="80">L1314/N1314</f>
        <v>0.48970737426214989</v>
      </c>
      <c r="N1314" s="104">
        <v>34.204099999999997</v>
      </c>
      <c r="O1314" s="234"/>
      <c r="P1314" s="15"/>
      <c r="Q1314" s="15"/>
      <c r="R1314" s="15"/>
      <c r="S1314" s="15"/>
      <c r="T1314" s="15"/>
      <c r="U1314" s="15"/>
      <c r="V1314" s="15"/>
      <c r="W1314" s="15"/>
      <c r="X1314" s="15"/>
      <c r="Y1314" s="15"/>
      <c r="Z1314" s="15"/>
    </row>
    <row r="1315" spans="2:26" ht="14" customHeight="1" x14ac:dyDescent="0.25">
      <c r="B1315" s="78">
        <v>2</v>
      </c>
      <c r="C1315" s="9" t="s">
        <v>69</v>
      </c>
      <c r="D1315" s="112">
        <v>1.0900000000000001</v>
      </c>
      <c r="E1315" s="45">
        <f t="shared" si="79"/>
        <v>0.16568371131513346</v>
      </c>
      <c r="F1315" s="45"/>
      <c r="G1315" s="45"/>
      <c r="H1315" s="104">
        <v>6.5788000000000002</v>
      </c>
      <c r="I1315" s="59"/>
      <c r="J1315" s="78">
        <v>2</v>
      </c>
      <c r="K1315" s="9" t="s">
        <v>69</v>
      </c>
      <c r="L1315" s="112">
        <v>4.88</v>
      </c>
      <c r="M1315" s="45">
        <f t="shared" si="80"/>
        <v>0.14267295441189801</v>
      </c>
      <c r="N1315" s="104">
        <v>34.204099999999997</v>
      </c>
      <c r="O1315" s="234"/>
      <c r="P1315" s="15"/>
      <c r="Q1315" s="15"/>
      <c r="R1315" s="15"/>
      <c r="S1315" s="15"/>
      <c r="T1315" s="15"/>
      <c r="U1315" s="15"/>
      <c r="V1315" s="15"/>
      <c r="W1315" s="15"/>
      <c r="X1315" s="15"/>
      <c r="Y1315" s="15"/>
      <c r="Z1315" s="15"/>
    </row>
    <row r="1316" spans="2:26" ht="14" customHeight="1" x14ac:dyDescent="0.25">
      <c r="B1316" s="78">
        <v>3</v>
      </c>
      <c r="C1316" s="9" t="s">
        <v>595</v>
      </c>
      <c r="D1316" s="112">
        <v>0.49</v>
      </c>
      <c r="E1316" s="45">
        <f t="shared" si="79"/>
        <v>7.4481668389371924E-2</v>
      </c>
      <c r="F1316" s="45"/>
      <c r="G1316" s="45"/>
      <c r="H1316" s="104">
        <v>6.5788000000000002</v>
      </c>
      <c r="I1316" s="59"/>
      <c r="J1316" s="78">
        <v>3</v>
      </c>
      <c r="K1316" s="9" t="s">
        <v>601</v>
      </c>
      <c r="L1316" s="112">
        <v>3.19</v>
      </c>
      <c r="M1316" s="45">
        <f t="shared" si="80"/>
        <v>9.326367306843332E-2</v>
      </c>
      <c r="N1316" s="104">
        <v>34.204099999999997</v>
      </c>
      <c r="O1316" s="234"/>
      <c r="P1316" s="15"/>
      <c r="Q1316" s="15"/>
      <c r="R1316" s="15"/>
      <c r="S1316" s="15"/>
      <c r="T1316" s="15"/>
      <c r="U1316" s="15"/>
      <c r="V1316" s="15"/>
      <c r="W1316" s="15"/>
      <c r="X1316" s="15"/>
      <c r="Y1316" s="15"/>
      <c r="Z1316" s="15"/>
    </row>
    <row r="1317" spans="2:26" ht="14" customHeight="1" x14ac:dyDescent="0.25">
      <c r="B1317" s="78">
        <v>4</v>
      </c>
      <c r="C1317" s="9" t="s">
        <v>601</v>
      </c>
      <c r="D1317" s="112">
        <v>0.47</v>
      </c>
      <c r="E1317" s="45">
        <f t="shared" si="79"/>
        <v>7.1441600291846527E-2</v>
      </c>
      <c r="F1317" s="45"/>
      <c r="G1317" s="45"/>
      <c r="H1317" s="104">
        <v>6.5788000000000002</v>
      </c>
      <c r="I1317" s="59"/>
      <c r="J1317" s="78">
        <v>4</v>
      </c>
      <c r="K1317" s="9" t="s">
        <v>72</v>
      </c>
      <c r="L1317" s="112">
        <v>1.96</v>
      </c>
      <c r="M1317" s="45">
        <f t="shared" si="80"/>
        <v>5.7303071853959033E-2</v>
      </c>
      <c r="N1317" s="104">
        <v>34.204099999999997</v>
      </c>
      <c r="O1317" s="234"/>
      <c r="P1317" s="15"/>
      <c r="Q1317" s="15"/>
      <c r="R1317" s="15"/>
      <c r="S1317" s="15"/>
      <c r="T1317" s="15"/>
      <c r="U1317" s="15"/>
      <c r="V1317" s="15"/>
      <c r="W1317" s="15"/>
      <c r="X1317" s="15"/>
      <c r="Y1317" s="15"/>
      <c r="Z1317" s="15"/>
    </row>
    <row r="1318" spans="2:26" ht="14" customHeight="1" x14ac:dyDescent="0.25">
      <c r="B1318" s="78">
        <v>5</v>
      </c>
      <c r="C1318" s="9" t="s">
        <v>72</v>
      </c>
      <c r="D1318" s="112">
        <v>0.26</v>
      </c>
      <c r="E1318" s="45">
        <f t="shared" si="79"/>
        <v>3.952088526783E-2</v>
      </c>
      <c r="F1318" s="45"/>
      <c r="G1318" s="45"/>
      <c r="H1318" s="104">
        <v>6.5788000000000002</v>
      </c>
      <c r="I1318" s="59"/>
      <c r="J1318" s="78">
        <v>5</v>
      </c>
      <c r="K1318" s="9" t="s">
        <v>595</v>
      </c>
      <c r="L1318" s="112">
        <v>1.69</v>
      </c>
      <c r="M1318" s="45">
        <f t="shared" si="80"/>
        <v>4.9409281343464673E-2</v>
      </c>
      <c r="N1318" s="104">
        <v>34.204099999999997</v>
      </c>
      <c r="O1318" s="234"/>
      <c r="P1318" s="15"/>
      <c r="Q1318" s="15"/>
      <c r="R1318" s="15"/>
      <c r="S1318" s="15"/>
      <c r="T1318" s="15"/>
      <c r="U1318" s="15"/>
      <c r="V1318" s="15"/>
      <c r="W1318" s="15"/>
      <c r="X1318" s="15"/>
      <c r="Y1318" s="15"/>
      <c r="Z1318" s="15"/>
    </row>
    <row r="1319" spans="2:26" ht="14" customHeight="1" x14ac:dyDescent="0.25">
      <c r="B1319" s="78">
        <v>6</v>
      </c>
      <c r="C1319" s="9" t="s">
        <v>70</v>
      </c>
      <c r="D1319" s="112">
        <v>0.22</v>
      </c>
      <c r="E1319" s="45">
        <f t="shared" si="79"/>
        <v>3.3440749072779233E-2</v>
      </c>
      <c r="F1319" s="45"/>
      <c r="G1319" s="45"/>
      <c r="H1319" s="104">
        <v>6.5788000000000002</v>
      </c>
      <c r="I1319" s="59"/>
      <c r="J1319" s="78">
        <v>6</v>
      </c>
      <c r="K1319" s="9" t="s">
        <v>70</v>
      </c>
      <c r="L1319" s="112">
        <v>1.44</v>
      </c>
      <c r="M1319" s="45">
        <f t="shared" si="80"/>
        <v>4.2100216055969898E-2</v>
      </c>
      <c r="N1319" s="104">
        <v>34.204099999999997</v>
      </c>
      <c r="O1319" s="234"/>
      <c r="P1319" s="15"/>
      <c r="Q1319" s="15"/>
      <c r="R1319" s="15"/>
      <c r="S1319" s="15"/>
      <c r="T1319" s="15"/>
      <c r="U1319" s="15"/>
      <c r="V1319" s="15"/>
      <c r="W1319" s="15"/>
      <c r="X1319" s="15"/>
      <c r="Y1319" s="15"/>
      <c r="Z1319" s="15"/>
    </row>
    <row r="1320" spans="2:26" ht="14" customHeight="1" x14ac:dyDescent="0.25">
      <c r="B1320" s="78">
        <v>7</v>
      </c>
      <c r="C1320" s="9" t="s">
        <v>357</v>
      </c>
      <c r="D1320" s="112">
        <v>0.12</v>
      </c>
      <c r="E1320" s="45">
        <f t="shared" si="79"/>
        <v>1.8240408585152305E-2</v>
      </c>
      <c r="F1320" s="45"/>
      <c r="G1320" s="45"/>
      <c r="H1320" s="104">
        <v>6.5788000000000002</v>
      </c>
      <c r="I1320" s="59"/>
      <c r="J1320" s="78">
        <v>7</v>
      </c>
      <c r="K1320" s="9" t="s">
        <v>73</v>
      </c>
      <c r="L1320" s="112">
        <v>0.62</v>
      </c>
      <c r="M1320" s="45">
        <f t="shared" si="80"/>
        <v>1.812648191298704E-2</v>
      </c>
      <c r="N1320" s="104">
        <v>34.204099999999997</v>
      </c>
      <c r="O1320" s="234"/>
      <c r="P1320" s="15"/>
      <c r="Q1320" s="15"/>
      <c r="R1320" s="15"/>
      <c r="S1320" s="15"/>
      <c r="T1320" s="15"/>
      <c r="U1320" s="15"/>
      <c r="V1320" s="15"/>
      <c r="W1320" s="15"/>
      <c r="X1320" s="15"/>
      <c r="Y1320" s="15"/>
      <c r="Z1320" s="15"/>
    </row>
    <row r="1321" spans="2:26" ht="14" customHeight="1" x14ac:dyDescent="0.25">
      <c r="B1321" s="78">
        <v>8</v>
      </c>
      <c r="C1321" s="9" t="s">
        <v>73</v>
      </c>
      <c r="D1321" s="112">
        <v>0.11</v>
      </c>
      <c r="E1321" s="45">
        <f t="shared" si="79"/>
        <v>1.6720374536389616E-2</v>
      </c>
      <c r="F1321" s="45"/>
      <c r="G1321" s="45"/>
      <c r="H1321" s="104">
        <v>6.5788000000000002</v>
      </c>
      <c r="I1321" s="59"/>
      <c r="J1321" s="78">
        <v>8</v>
      </c>
      <c r="K1321" s="9" t="s">
        <v>606</v>
      </c>
      <c r="L1321" s="112">
        <v>0.5</v>
      </c>
      <c r="M1321" s="45">
        <f t="shared" si="80"/>
        <v>1.4618130574989549E-2</v>
      </c>
      <c r="N1321" s="104">
        <v>34.204099999999997</v>
      </c>
      <c r="P1321" s="15"/>
      <c r="Q1321" s="15"/>
      <c r="R1321" s="15"/>
      <c r="S1321" s="15"/>
      <c r="T1321" s="15"/>
      <c r="U1321" s="15"/>
      <c r="V1321" s="15"/>
      <c r="W1321" s="15"/>
      <c r="X1321" s="15"/>
      <c r="Y1321" s="15"/>
      <c r="Z1321" s="15"/>
    </row>
    <row r="1322" spans="2:26" ht="14" customHeight="1" x14ac:dyDescent="0.25">
      <c r="B1322" s="78">
        <v>9</v>
      </c>
      <c r="C1322" s="9" t="s">
        <v>566</v>
      </c>
      <c r="D1322" s="112">
        <v>0.11</v>
      </c>
      <c r="E1322" s="45">
        <f t="shared" si="79"/>
        <v>1.6720374536389616E-2</v>
      </c>
      <c r="F1322" s="45"/>
      <c r="G1322" s="45"/>
      <c r="H1322" s="104">
        <v>6.5788000000000002</v>
      </c>
      <c r="I1322" s="59"/>
      <c r="J1322" s="78">
        <v>9</v>
      </c>
      <c r="K1322" s="9" t="s">
        <v>357</v>
      </c>
      <c r="L1322" s="112">
        <v>0.38</v>
      </c>
      <c r="M1322" s="45">
        <f t="shared" si="80"/>
        <v>1.1109779236992058E-2</v>
      </c>
      <c r="N1322" s="104">
        <v>34.204099999999997</v>
      </c>
      <c r="P1322" s="15"/>
      <c r="Q1322" s="15"/>
      <c r="R1322" s="15"/>
      <c r="S1322" s="15"/>
      <c r="T1322" s="15"/>
      <c r="U1322" s="15"/>
      <c r="V1322" s="15"/>
      <c r="W1322" s="15"/>
      <c r="X1322" s="15"/>
      <c r="Y1322" s="15"/>
      <c r="Z1322" s="15"/>
    </row>
    <row r="1323" spans="2:26" ht="14" customHeight="1" x14ac:dyDescent="0.25">
      <c r="B1323" s="80">
        <v>10</v>
      </c>
      <c r="C1323" s="110" t="s">
        <v>74</v>
      </c>
      <c r="D1323" s="114">
        <v>0.08</v>
      </c>
      <c r="E1323" s="116">
        <f t="shared" si="79"/>
        <v>1.2158054711246201E-2</v>
      </c>
      <c r="F1323" s="116"/>
      <c r="G1323" s="116"/>
      <c r="H1323" s="105">
        <v>6.58</v>
      </c>
      <c r="I1323" s="59"/>
      <c r="J1323" s="80">
        <v>10</v>
      </c>
      <c r="K1323" s="110" t="s">
        <v>590</v>
      </c>
      <c r="L1323" s="114">
        <v>0.35</v>
      </c>
      <c r="M1323" s="116">
        <f t="shared" si="80"/>
        <v>1.0233918128654968E-2</v>
      </c>
      <c r="N1323" s="105">
        <v>34.200000000000003</v>
      </c>
      <c r="P1323" s="15"/>
      <c r="Q1323" s="15"/>
      <c r="R1323" s="15"/>
      <c r="S1323" s="15"/>
      <c r="T1323" s="15"/>
      <c r="U1323" s="15"/>
      <c r="V1323" s="15"/>
      <c r="W1323" s="15"/>
      <c r="X1323" s="15"/>
      <c r="Y1323" s="15"/>
      <c r="Z1323" s="15"/>
    </row>
    <row r="1324" spans="2:26" ht="14" customHeight="1" x14ac:dyDescent="0.25">
      <c r="D1324" s="48"/>
      <c r="E1324" s="16"/>
      <c r="F1324" s="16"/>
      <c r="G1324" s="16"/>
      <c r="L1324" s="48"/>
      <c r="M1324" s="16"/>
      <c r="O1324" s="49"/>
      <c r="P1324" s="15"/>
      <c r="Q1324" s="15"/>
      <c r="R1324" s="15"/>
      <c r="S1324" s="15"/>
      <c r="T1324" s="15"/>
      <c r="U1324" s="15"/>
      <c r="V1324" s="15"/>
      <c r="W1324" s="15"/>
      <c r="X1324" s="15"/>
      <c r="Y1324" s="15"/>
      <c r="Z1324" s="15"/>
    </row>
    <row r="1325" spans="2:26" ht="14" customHeight="1" x14ac:dyDescent="0.25">
      <c r="D1325" s="48"/>
      <c r="E1325" s="16"/>
      <c r="F1325" s="16"/>
      <c r="G1325" s="16"/>
      <c r="L1325" s="48"/>
      <c r="M1325" s="16"/>
      <c r="O1325" s="234"/>
      <c r="P1325" s="15"/>
      <c r="Q1325" s="15"/>
      <c r="R1325" s="15"/>
      <c r="S1325" s="15"/>
      <c r="T1325" s="15"/>
      <c r="U1325" s="15"/>
      <c r="V1325" s="15"/>
      <c r="W1325" s="15"/>
      <c r="X1325" s="15"/>
      <c r="Y1325" s="15"/>
      <c r="Z1325" s="15"/>
    </row>
    <row r="1326" spans="2:26" ht="14" customHeight="1" x14ac:dyDescent="0.25">
      <c r="B1326" s="15" t="s">
        <v>637</v>
      </c>
      <c r="D1326" s="48"/>
      <c r="E1326" s="16"/>
      <c r="F1326" s="16"/>
      <c r="G1326" s="16"/>
      <c r="J1326" s="15" t="s">
        <v>638</v>
      </c>
      <c r="L1326" s="48"/>
      <c r="M1326" s="16"/>
      <c r="O1326" s="234"/>
      <c r="P1326" s="15"/>
      <c r="Q1326" s="15"/>
      <c r="R1326" s="15"/>
      <c r="S1326" s="15"/>
      <c r="T1326" s="15"/>
      <c r="U1326" s="15"/>
      <c r="V1326" s="15"/>
      <c r="W1326" s="15"/>
      <c r="X1326" s="15"/>
      <c r="Y1326" s="15"/>
      <c r="Z1326" s="15"/>
    </row>
    <row r="1327" spans="2:26" ht="14" customHeight="1" x14ac:dyDescent="0.25">
      <c r="B1327" s="83" t="s">
        <v>582</v>
      </c>
      <c r="C1327" s="85" t="s">
        <v>335</v>
      </c>
      <c r="D1327" s="87" t="s">
        <v>583</v>
      </c>
      <c r="E1327" s="107" t="s">
        <v>337</v>
      </c>
      <c r="F1327" s="107"/>
      <c r="G1327" s="107"/>
      <c r="H1327" s="108" t="s">
        <v>584</v>
      </c>
      <c r="I1327" s="59"/>
      <c r="J1327" s="83" t="s">
        <v>582</v>
      </c>
      <c r="K1327" s="85" t="s">
        <v>335</v>
      </c>
      <c r="L1327" s="87" t="s">
        <v>583</v>
      </c>
      <c r="M1327" s="107" t="s">
        <v>337</v>
      </c>
      <c r="N1327" s="108" t="s">
        <v>587</v>
      </c>
      <c r="O1327" s="234"/>
      <c r="P1327" s="15"/>
      <c r="Q1327" s="15"/>
      <c r="R1327" s="15"/>
      <c r="S1327" s="15"/>
      <c r="T1327" s="15"/>
      <c r="U1327" s="15"/>
      <c r="V1327" s="15"/>
      <c r="W1327" s="15"/>
      <c r="X1327" s="15"/>
      <c r="Y1327" s="15"/>
      <c r="Z1327" s="15"/>
    </row>
    <row r="1328" spans="2:26" ht="14" customHeight="1" x14ac:dyDescent="0.25">
      <c r="B1328" s="78">
        <v>1</v>
      </c>
      <c r="C1328" s="9" t="s">
        <v>68</v>
      </c>
      <c r="D1328" s="112">
        <v>2.46</v>
      </c>
      <c r="E1328" s="45">
        <f t="shared" ref="E1328:E1337" si="81">D1328/H1328</f>
        <v>0.47966306594392233</v>
      </c>
      <c r="F1328" s="45"/>
      <c r="G1328" s="45"/>
      <c r="H1328" s="104">
        <v>5.1285999999999996</v>
      </c>
      <c r="I1328" s="59"/>
      <c r="J1328" s="78">
        <v>1</v>
      </c>
      <c r="K1328" s="9" t="s">
        <v>68</v>
      </c>
      <c r="L1328" s="112">
        <v>13.63</v>
      </c>
      <c r="M1328" s="45">
        <f t="shared" ref="M1328:M1337" si="82">L1328/N1328</f>
        <v>0.49338830709530762</v>
      </c>
      <c r="N1328" s="104">
        <v>27.625299999999999</v>
      </c>
      <c r="O1328" s="234"/>
      <c r="P1328" s="15"/>
      <c r="Q1328" s="15"/>
      <c r="R1328" s="15"/>
      <c r="S1328" s="15"/>
      <c r="T1328" s="15"/>
      <c r="U1328" s="15"/>
      <c r="V1328" s="15"/>
      <c r="W1328" s="15"/>
      <c r="X1328" s="15"/>
      <c r="Y1328" s="15"/>
      <c r="Z1328" s="15"/>
    </row>
    <row r="1329" spans="2:26" ht="14" customHeight="1" x14ac:dyDescent="0.25">
      <c r="B1329" s="78">
        <v>2</v>
      </c>
      <c r="C1329" s="9" t="s">
        <v>69</v>
      </c>
      <c r="D1329" s="112">
        <v>0.71</v>
      </c>
      <c r="E1329" s="45">
        <f t="shared" si="81"/>
        <v>0.13843934017080686</v>
      </c>
      <c r="F1329" s="45"/>
      <c r="G1329" s="45"/>
      <c r="H1329" s="104">
        <v>5.1285999999999996</v>
      </c>
      <c r="I1329" s="59"/>
      <c r="J1329" s="78">
        <v>2</v>
      </c>
      <c r="K1329" s="9" t="s">
        <v>69</v>
      </c>
      <c r="L1329" s="112">
        <v>3.79</v>
      </c>
      <c r="M1329" s="45">
        <f t="shared" si="82"/>
        <v>0.13719308025614202</v>
      </c>
      <c r="N1329" s="104">
        <v>27.625299999999999</v>
      </c>
      <c r="O1329" s="234"/>
      <c r="P1329" s="15"/>
      <c r="Q1329" s="15"/>
      <c r="R1329" s="15"/>
      <c r="S1329" s="15"/>
      <c r="T1329" s="15"/>
      <c r="U1329" s="15"/>
      <c r="V1329" s="15"/>
      <c r="W1329" s="15"/>
      <c r="X1329" s="15"/>
      <c r="Y1329" s="15"/>
      <c r="Z1329" s="15"/>
    </row>
    <row r="1330" spans="2:26" ht="14" customHeight="1" x14ac:dyDescent="0.25">
      <c r="B1330" s="78">
        <v>3</v>
      </c>
      <c r="C1330" s="9" t="s">
        <v>601</v>
      </c>
      <c r="D1330" s="112">
        <v>0.47</v>
      </c>
      <c r="E1330" s="45">
        <f t="shared" si="81"/>
        <v>9.1642943493351017E-2</v>
      </c>
      <c r="F1330" s="45"/>
      <c r="G1330" s="45"/>
      <c r="H1330" s="104">
        <v>5.1285999999999996</v>
      </c>
      <c r="I1330" s="59"/>
      <c r="J1330" s="78">
        <v>3</v>
      </c>
      <c r="K1330" s="9" t="s">
        <v>601</v>
      </c>
      <c r="L1330" s="112">
        <v>2.72</v>
      </c>
      <c r="M1330" s="45">
        <f t="shared" si="82"/>
        <v>9.846046920757423E-2</v>
      </c>
      <c r="N1330" s="104">
        <v>27.625299999999999</v>
      </c>
      <c r="O1330" s="234"/>
      <c r="P1330" s="15"/>
      <c r="Q1330" s="15"/>
      <c r="R1330" s="15"/>
      <c r="S1330" s="15"/>
      <c r="T1330" s="15"/>
      <c r="U1330" s="15"/>
      <c r="V1330" s="15"/>
      <c r="W1330" s="15"/>
      <c r="X1330" s="15"/>
      <c r="Y1330" s="15"/>
      <c r="Z1330" s="15"/>
    </row>
    <row r="1331" spans="2:26" ht="14" customHeight="1" x14ac:dyDescent="0.25">
      <c r="B1331" s="78">
        <v>4</v>
      </c>
      <c r="C1331" s="9" t="s">
        <v>72</v>
      </c>
      <c r="D1331" s="112">
        <v>0.27</v>
      </c>
      <c r="E1331" s="45">
        <f t="shared" si="81"/>
        <v>5.2645946262137824E-2</v>
      </c>
      <c r="F1331" s="45"/>
      <c r="G1331" s="45"/>
      <c r="H1331" s="104">
        <v>5.1285999999999996</v>
      </c>
      <c r="I1331" s="59"/>
      <c r="J1331" s="78">
        <v>4</v>
      </c>
      <c r="K1331" s="9" t="s">
        <v>72</v>
      </c>
      <c r="L1331" s="112">
        <v>1.71</v>
      </c>
      <c r="M1331" s="45">
        <f t="shared" si="82"/>
        <v>6.1899780273879379E-2</v>
      </c>
      <c r="N1331" s="104">
        <v>27.625299999999999</v>
      </c>
      <c r="O1331" s="234"/>
      <c r="P1331" s="15"/>
      <c r="Q1331" s="15"/>
      <c r="R1331" s="15"/>
      <c r="S1331" s="15"/>
      <c r="T1331" s="15"/>
      <c r="U1331" s="15"/>
      <c r="V1331" s="15"/>
      <c r="W1331" s="15"/>
      <c r="X1331" s="15"/>
      <c r="Y1331" s="15"/>
      <c r="Z1331" s="15"/>
    </row>
    <row r="1332" spans="2:26" ht="14" customHeight="1" x14ac:dyDescent="0.25">
      <c r="B1332" s="78">
        <v>5</v>
      </c>
      <c r="C1332" s="9" t="s">
        <v>595</v>
      </c>
      <c r="D1332" s="112">
        <v>0.27</v>
      </c>
      <c r="E1332" s="45">
        <f t="shared" si="81"/>
        <v>5.2645946262137824E-2</v>
      </c>
      <c r="F1332" s="45"/>
      <c r="G1332" s="45"/>
      <c r="H1332" s="104">
        <v>5.1285999999999996</v>
      </c>
      <c r="I1332" s="59"/>
      <c r="J1332" s="78">
        <v>5</v>
      </c>
      <c r="K1332" s="9" t="s">
        <v>631</v>
      </c>
      <c r="L1332" s="112">
        <v>1.21</v>
      </c>
      <c r="M1332" s="45">
        <f t="shared" si="82"/>
        <v>4.380042931660471E-2</v>
      </c>
      <c r="N1332" s="104">
        <v>27.625299999999999</v>
      </c>
      <c r="O1332" s="234"/>
      <c r="P1332" s="15"/>
      <c r="Q1332" s="15"/>
      <c r="R1332" s="15"/>
      <c r="S1332" s="15"/>
      <c r="T1332" s="15"/>
      <c r="U1332" s="15"/>
      <c r="V1332" s="15"/>
      <c r="W1332" s="15"/>
      <c r="X1332" s="15"/>
      <c r="Y1332" s="15"/>
      <c r="Z1332" s="15"/>
    </row>
    <row r="1333" spans="2:26" ht="14" customHeight="1" x14ac:dyDescent="0.25">
      <c r="B1333" s="78">
        <v>6</v>
      </c>
      <c r="C1333" s="9" t="s">
        <v>631</v>
      </c>
      <c r="D1333" s="112">
        <v>0.19</v>
      </c>
      <c r="E1333" s="45">
        <f t="shared" si="81"/>
        <v>3.704714736965254E-2</v>
      </c>
      <c r="F1333" s="45"/>
      <c r="G1333" s="45"/>
      <c r="H1333" s="104">
        <v>5.1285999999999996</v>
      </c>
      <c r="I1333" s="59"/>
      <c r="J1333" s="78">
        <v>6</v>
      </c>
      <c r="K1333" s="9" t="s">
        <v>595</v>
      </c>
      <c r="L1333" s="112">
        <v>1.2</v>
      </c>
      <c r="M1333" s="45">
        <f t="shared" si="82"/>
        <v>4.3438442297459211E-2</v>
      </c>
      <c r="N1333" s="104">
        <v>27.625299999999999</v>
      </c>
      <c r="O1333" s="234"/>
      <c r="P1333" s="15"/>
      <c r="Q1333" s="15"/>
      <c r="R1333" s="15"/>
      <c r="S1333" s="15"/>
      <c r="T1333" s="15"/>
      <c r="U1333" s="15"/>
      <c r="V1333" s="15"/>
      <c r="W1333" s="15"/>
      <c r="X1333" s="15"/>
      <c r="Y1333" s="15"/>
      <c r="Z1333" s="15"/>
    </row>
    <row r="1334" spans="2:26" ht="14" customHeight="1" x14ac:dyDescent="0.25">
      <c r="B1334" s="78">
        <v>7</v>
      </c>
      <c r="C1334" s="9" t="s">
        <v>545</v>
      </c>
      <c r="D1334" s="112">
        <v>0.12</v>
      </c>
      <c r="E1334" s="45">
        <f t="shared" si="81"/>
        <v>2.3398198338727919E-2</v>
      </c>
      <c r="F1334" s="45"/>
      <c r="G1334" s="45"/>
      <c r="H1334" s="104">
        <v>5.1285999999999996</v>
      </c>
      <c r="I1334" s="59"/>
      <c r="J1334" s="78">
        <v>7</v>
      </c>
      <c r="K1334" s="9" t="s">
        <v>73</v>
      </c>
      <c r="L1334" s="112">
        <v>0.51</v>
      </c>
      <c r="M1334" s="45">
        <f t="shared" si="82"/>
        <v>1.8461337976420165E-2</v>
      </c>
      <c r="N1334" s="104">
        <v>27.625299999999999</v>
      </c>
      <c r="O1334" s="234"/>
      <c r="P1334" s="15"/>
      <c r="Q1334" s="15"/>
      <c r="R1334" s="15"/>
      <c r="S1334" s="15"/>
      <c r="T1334" s="15"/>
      <c r="U1334" s="15"/>
      <c r="V1334" s="15"/>
      <c r="W1334" s="15"/>
      <c r="X1334" s="15"/>
      <c r="Y1334" s="15"/>
      <c r="Z1334" s="15"/>
    </row>
    <row r="1335" spans="2:26" ht="14" customHeight="1" x14ac:dyDescent="0.25">
      <c r="B1335" s="78">
        <v>8</v>
      </c>
      <c r="C1335" s="9" t="s">
        <v>357</v>
      </c>
      <c r="D1335" s="112">
        <v>0.11</v>
      </c>
      <c r="E1335" s="45">
        <f t="shared" si="81"/>
        <v>2.144834847716726E-2</v>
      </c>
      <c r="F1335" s="45"/>
      <c r="G1335" s="45"/>
      <c r="H1335" s="104">
        <v>5.1285999999999996</v>
      </c>
      <c r="I1335" s="59"/>
      <c r="J1335" s="78">
        <v>8</v>
      </c>
      <c r="K1335" s="9" t="s">
        <v>426</v>
      </c>
      <c r="L1335" s="112">
        <v>0.43</v>
      </c>
      <c r="M1335" s="45">
        <f t="shared" si="82"/>
        <v>1.5565441823256218E-2</v>
      </c>
      <c r="N1335" s="104">
        <v>27.625299999999999</v>
      </c>
      <c r="O1335" s="157"/>
      <c r="P1335" s="15"/>
      <c r="Q1335" s="15"/>
      <c r="R1335" s="15"/>
      <c r="S1335" s="15"/>
      <c r="T1335" s="15"/>
      <c r="U1335" s="15"/>
      <c r="V1335" s="15"/>
      <c r="W1335" s="15"/>
      <c r="X1335" s="15"/>
      <c r="Y1335" s="15"/>
      <c r="Z1335" s="15"/>
    </row>
    <row r="1336" spans="2:26" ht="14" customHeight="1" x14ac:dyDescent="0.25">
      <c r="B1336" s="78">
        <v>9</v>
      </c>
      <c r="C1336" s="9" t="s">
        <v>73</v>
      </c>
      <c r="D1336" s="112">
        <v>0.08</v>
      </c>
      <c r="E1336" s="45">
        <f t="shared" si="81"/>
        <v>1.5598798892485281E-2</v>
      </c>
      <c r="F1336" s="45"/>
      <c r="G1336" s="45"/>
      <c r="H1336" s="104">
        <v>5.1285999999999996</v>
      </c>
      <c r="I1336" s="59"/>
      <c r="J1336" s="78">
        <v>9</v>
      </c>
      <c r="K1336" s="9" t="s">
        <v>590</v>
      </c>
      <c r="L1336" s="112">
        <v>0.3</v>
      </c>
      <c r="M1336" s="45">
        <f t="shared" si="82"/>
        <v>1.0859610574364803E-2</v>
      </c>
      <c r="N1336" s="104">
        <v>27.625299999999999</v>
      </c>
      <c r="O1336" s="157"/>
      <c r="P1336" s="15"/>
      <c r="Q1336" s="15"/>
      <c r="R1336" s="15"/>
      <c r="S1336" s="15"/>
      <c r="T1336" s="15"/>
      <c r="U1336" s="15"/>
      <c r="V1336" s="15"/>
      <c r="W1336" s="15"/>
      <c r="X1336" s="15"/>
      <c r="Y1336" s="15"/>
      <c r="Z1336" s="15"/>
    </row>
    <row r="1337" spans="2:26" ht="14" customHeight="1" x14ac:dyDescent="0.25">
      <c r="B1337" s="80">
        <v>10</v>
      </c>
      <c r="C1337" s="110" t="s">
        <v>426</v>
      </c>
      <c r="D1337" s="114">
        <v>0.05</v>
      </c>
      <c r="E1337" s="116">
        <f t="shared" si="81"/>
        <v>9.7465886939571162E-3</v>
      </c>
      <c r="F1337" s="116"/>
      <c r="G1337" s="116"/>
      <c r="H1337" s="105">
        <v>5.13</v>
      </c>
      <c r="I1337" s="59"/>
      <c r="J1337" s="80">
        <v>10</v>
      </c>
      <c r="K1337" s="110" t="s">
        <v>357</v>
      </c>
      <c r="L1337" s="114">
        <v>0.26</v>
      </c>
      <c r="M1337" s="116">
        <f t="shared" si="82"/>
        <v>9.4100615273253717E-3</v>
      </c>
      <c r="N1337" s="105">
        <v>27.63</v>
      </c>
      <c r="P1337" s="15"/>
      <c r="Q1337" s="15"/>
      <c r="R1337" s="15"/>
      <c r="S1337" s="15"/>
      <c r="T1337" s="15"/>
      <c r="U1337" s="15"/>
      <c r="V1337" s="15"/>
      <c r="W1337" s="15"/>
      <c r="X1337" s="15"/>
      <c r="Y1337" s="15"/>
      <c r="Z1337" s="15"/>
    </row>
    <row r="1338" spans="2:26" ht="14" customHeight="1" x14ac:dyDescent="0.25">
      <c r="D1338" s="48"/>
      <c r="E1338" s="16"/>
      <c r="F1338" s="16"/>
      <c r="G1338" s="16"/>
      <c r="L1338" s="48"/>
      <c r="M1338" s="16"/>
      <c r="O1338" s="49"/>
      <c r="P1338" s="15"/>
      <c r="Q1338" s="15"/>
      <c r="R1338" s="15"/>
      <c r="S1338" s="15"/>
      <c r="T1338" s="15"/>
      <c r="U1338" s="15"/>
      <c r="V1338" s="15"/>
      <c r="W1338" s="15"/>
      <c r="X1338" s="15"/>
      <c r="Y1338" s="15"/>
      <c r="Z1338" s="15"/>
    </row>
    <row r="1339" spans="2:26" ht="14" customHeight="1" x14ac:dyDescent="0.25">
      <c r="D1339" s="48"/>
      <c r="E1339" s="16"/>
      <c r="F1339" s="16"/>
      <c r="G1339" s="16"/>
      <c r="L1339" s="48"/>
      <c r="M1339" s="16"/>
      <c r="O1339" s="234"/>
      <c r="P1339" s="15"/>
      <c r="Q1339" s="15"/>
      <c r="R1339" s="15"/>
      <c r="S1339" s="15"/>
      <c r="T1339" s="15"/>
      <c r="U1339" s="15"/>
      <c r="V1339" s="15"/>
      <c r="W1339" s="15"/>
      <c r="X1339" s="15"/>
      <c r="Y1339" s="15"/>
      <c r="Z1339" s="15"/>
    </row>
    <row r="1340" spans="2:26" ht="14" customHeight="1" x14ac:dyDescent="0.25">
      <c r="B1340" s="15" t="s">
        <v>639</v>
      </c>
      <c r="D1340" s="48"/>
      <c r="E1340" s="16"/>
      <c r="F1340" s="16"/>
      <c r="G1340" s="16"/>
      <c r="J1340" s="15" t="s">
        <v>640</v>
      </c>
      <c r="L1340" s="48"/>
      <c r="M1340" s="16"/>
      <c r="O1340" s="234"/>
      <c r="P1340" s="15"/>
      <c r="Q1340" s="15"/>
      <c r="R1340" s="15"/>
      <c r="S1340" s="15"/>
      <c r="T1340" s="15"/>
      <c r="U1340" s="15"/>
      <c r="V1340" s="15"/>
      <c r="W1340" s="15"/>
      <c r="X1340" s="15"/>
      <c r="Y1340" s="15"/>
      <c r="Z1340" s="15"/>
    </row>
    <row r="1341" spans="2:26" ht="14" customHeight="1" x14ac:dyDescent="0.25">
      <c r="B1341" s="83" t="s">
        <v>582</v>
      </c>
      <c r="C1341" s="85" t="s">
        <v>335</v>
      </c>
      <c r="D1341" s="87" t="s">
        <v>583</v>
      </c>
      <c r="E1341" s="107" t="s">
        <v>337</v>
      </c>
      <c r="F1341" s="107"/>
      <c r="G1341" s="107"/>
      <c r="H1341" s="108" t="s">
        <v>584</v>
      </c>
      <c r="I1341" s="59"/>
      <c r="J1341" s="83" t="s">
        <v>582</v>
      </c>
      <c r="K1341" s="85" t="s">
        <v>335</v>
      </c>
      <c r="L1341" s="87" t="s">
        <v>583</v>
      </c>
      <c r="M1341" s="107" t="s">
        <v>337</v>
      </c>
      <c r="N1341" s="108" t="s">
        <v>587</v>
      </c>
      <c r="O1341" s="234"/>
      <c r="P1341" s="15"/>
      <c r="Q1341" s="15"/>
      <c r="R1341" s="15"/>
      <c r="S1341" s="15"/>
      <c r="T1341" s="15"/>
      <c r="U1341" s="15"/>
      <c r="V1341" s="15"/>
      <c r="W1341" s="15"/>
      <c r="X1341" s="15"/>
      <c r="Y1341" s="15"/>
      <c r="Z1341" s="15"/>
    </row>
    <row r="1342" spans="2:26" ht="14" customHeight="1" x14ac:dyDescent="0.25">
      <c r="B1342" s="78">
        <v>1</v>
      </c>
      <c r="C1342" s="9" t="s">
        <v>68</v>
      </c>
      <c r="D1342" s="112">
        <v>2.2599999999999998</v>
      </c>
      <c r="E1342" s="45">
        <f t="shared" ref="E1342:E1351" si="83">D1342/H1342</f>
        <v>0.45027993066486022</v>
      </c>
      <c r="F1342" s="45"/>
      <c r="G1342" s="45"/>
      <c r="H1342" s="104">
        <v>5.0190999999999999</v>
      </c>
      <c r="I1342" s="59"/>
      <c r="J1342" s="78">
        <v>1</v>
      </c>
      <c r="K1342" s="9" t="s">
        <v>68</v>
      </c>
      <c r="L1342" s="112">
        <v>10.71</v>
      </c>
      <c r="M1342" s="45">
        <f t="shared" ref="M1342:M1351" si="84">L1342/N1342</f>
        <v>0.47606982357412425</v>
      </c>
      <c r="N1342" s="104">
        <v>22.496700000000001</v>
      </c>
      <c r="O1342" s="234"/>
      <c r="P1342" s="15"/>
      <c r="Q1342" s="15"/>
      <c r="R1342" s="15"/>
      <c r="S1342" s="15"/>
      <c r="T1342" s="15"/>
      <c r="U1342" s="15"/>
      <c r="V1342" s="15"/>
      <c r="W1342" s="15"/>
      <c r="X1342" s="15"/>
      <c r="Y1342" s="15"/>
      <c r="Z1342" s="15"/>
    </row>
    <row r="1343" spans="2:26" ht="14" customHeight="1" x14ac:dyDescent="0.25">
      <c r="B1343" s="78">
        <v>2</v>
      </c>
      <c r="C1343" s="9" t="s">
        <v>69</v>
      </c>
      <c r="D1343" s="112">
        <v>0.63</v>
      </c>
      <c r="E1343" s="45">
        <f t="shared" si="83"/>
        <v>0.12552051164551414</v>
      </c>
      <c r="F1343" s="45"/>
      <c r="G1343" s="45"/>
      <c r="H1343" s="104">
        <v>5.0190999999999999</v>
      </c>
      <c r="I1343" s="59"/>
      <c r="J1343" s="78">
        <v>2</v>
      </c>
      <c r="K1343" s="9" t="s">
        <v>69</v>
      </c>
      <c r="L1343" s="112">
        <v>3.08</v>
      </c>
      <c r="M1343" s="45">
        <f t="shared" si="84"/>
        <v>0.13690896887098997</v>
      </c>
      <c r="N1343" s="104">
        <v>22.496700000000001</v>
      </c>
      <c r="O1343" s="234"/>
      <c r="P1343" s="15"/>
      <c r="Q1343" s="15"/>
      <c r="R1343" s="15"/>
      <c r="S1343" s="15"/>
      <c r="T1343" s="15"/>
      <c r="U1343" s="15"/>
      <c r="V1343" s="15"/>
      <c r="W1343" s="15"/>
      <c r="X1343" s="15"/>
      <c r="Y1343" s="15"/>
      <c r="Z1343" s="15"/>
    </row>
    <row r="1344" spans="2:26" ht="14" customHeight="1" x14ac:dyDescent="0.25">
      <c r="B1344" s="78">
        <v>3</v>
      </c>
      <c r="C1344" s="9" t="s">
        <v>601</v>
      </c>
      <c r="D1344" s="112">
        <v>0.59</v>
      </c>
      <c r="E1344" s="45">
        <f t="shared" si="83"/>
        <v>0.11755095535056086</v>
      </c>
      <c r="F1344" s="45"/>
      <c r="G1344" s="45"/>
      <c r="H1344" s="104">
        <v>5.0190999999999999</v>
      </c>
      <c r="I1344" s="59"/>
      <c r="J1344" s="78">
        <v>3</v>
      </c>
      <c r="K1344" s="9" t="s">
        <v>601</v>
      </c>
      <c r="L1344" s="112">
        <v>2.25</v>
      </c>
      <c r="M1344" s="45">
        <f t="shared" si="84"/>
        <v>0.10001466881809332</v>
      </c>
      <c r="N1344" s="104">
        <v>22.496700000000001</v>
      </c>
      <c r="O1344" s="234"/>
      <c r="P1344" s="15"/>
      <c r="Q1344" s="15"/>
      <c r="R1344" s="15"/>
      <c r="S1344" s="15"/>
      <c r="T1344" s="15"/>
      <c r="U1344" s="15"/>
      <c r="V1344" s="15"/>
      <c r="W1344" s="15"/>
      <c r="X1344" s="15"/>
      <c r="Y1344" s="15"/>
      <c r="Z1344" s="15"/>
    </row>
    <row r="1345" spans="2:26" ht="14" customHeight="1" x14ac:dyDescent="0.25">
      <c r="B1345" s="78">
        <v>4</v>
      </c>
      <c r="C1345" s="9" t="s">
        <v>70</v>
      </c>
      <c r="D1345" s="112">
        <v>0.36</v>
      </c>
      <c r="E1345" s="45">
        <f t="shared" si="83"/>
        <v>7.1726006654579511E-2</v>
      </c>
      <c r="F1345" s="45"/>
      <c r="G1345" s="45"/>
      <c r="H1345" s="104">
        <v>5.0190999999999999</v>
      </c>
      <c r="I1345" s="59"/>
      <c r="J1345" s="78">
        <v>4</v>
      </c>
      <c r="K1345" s="9" t="s">
        <v>72</v>
      </c>
      <c r="L1345" s="112">
        <v>1.4</v>
      </c>
      <c r="M1345" s="45">
        <f t="shared" si="84"/>
        <v>6.2231349486813616E-2</v>
      </c>
      <c r="N1345" s="104">
        <v>22.496700000000001</v>
      </c>
      <c r="O1345" s="234"/>
      <c r="P1345" s="15"/>
      <c r="Q1345" s="15"/>
      <c r="R1345" s="15"/>
      <c r="S1345" s="15"/>
      <c r="T1345" s="15"/>
      <c r="U1345" s="15"/>
      <c r="V1345" s="15"/>
      <c r="W1345" s="15"/>
      <c r="X1345" s="15"/>
      <c r="Y1345" s="15"/>
      <c r="Z1345" s="15"/>
    </row>
    <row r="1346" spans="2:26" ht="14" customHeight="1" x14ac:dyDescent="0.25">
      <c r="B1346" s="78">
        <v>5</v>
      </c>
      <c r="C1346" s="9" t="s">
        <v>72</v>
      </c>
      <c r="D1346" s="112">
        <v>0.23</v>
      </c>
      <c r="E1346" s="45">
        <f t="shared" si="83"/>
        <v>4.5824948695981353E-2</v>
      </c>
      <c r="F1346" s="45"/>
      <c r="G1346" s="45"/>
      <c r="H1346" s="104">
        <v>5.0190999999999999</v>
      </c>
      <c r="I1346" s="59"/>
      <c r="J1346" s="78">
        <v>5</v>
      </c>
      <c r="K1346" s="9" t="s">
        <v>70</v>
      </c>
      <c r="L1346" s="112">
        <v>1.03</v>
      </c>
      <c r="M1346" s="45">
        <f t="shared" si="84"/>
        <v>4.5784492836727163E-2</v>
      </c>
      <c r="N1346" s="104">
        <v>22.496700000000001</v>
      </c>
      <c r="O1346" s="234"/>
      <c r="P1346" s="15"/>
      <c r="Q1346" s="15"/>
      <c r="R1346" s="15"/>
      <c r="S1346" s="15"/>
      <c r="T1346" s="15"/>
      <c r="U1346" s="15"/>
      <c r="V1346" s="15"/>
      <c r="W1346" s="15"/>
      <c r="X1346" s="15"/>
      <c r="Y1346" s="15"/>
      <c r="Z1346" s="15"/>
    </row>
    <row r="1347" spans="2:26" ht="14" customHeight="1" x14ac:dyDescent="0.25">
      <c r="B1347" s="78">
        <v>6</v>
      </c>
      <c r="C1347" s="9" t="s">
        <v>595</v>
      </c>
      <c r="D1347" s="112">
        <v>0.16</v>
      </c>
      <c r="E1347" s="45">
        <f t="shared" si="83"/>
        <v>3.1878225179813112E-2</v>
      </c>
      <c r="F1347" s="45"/>
      <c r="G1347" s="45"/>
      <c r="H1347" s="104">
        <v>5.0190999999999999</v>
      </c>
      <c r="I1347" s="59"/>
      <c r="J1347" s="78">
        <v>6</v>
      </c>
      <c r="K1347" s="9" t="s">
        <v>595</v>
      </c>
      <c r="L1347" s="112">
        <v>0.92</v>
      </c>
      <c r="M1347" s="45">
        <f t="shared" si="84"/>
        <v>4.0894886805620381E-2</v>
      </c>
      <c r="N1347" s="104">
        <v>22.496700000000001</v>
      </c>
      <c r="O1347" s="234"/>
      <c r="P1347" s="15"/>
      <c r="Q1347" s="15"/>
      <c r="R1347" s="15"/>
      <c r="S1347" s="15"/>
      <c r="T1347" s="15"/>
      <c r="U1347" s="15"/>
      <c r="V1347" s="15"/>
      <c r="W1347" s="15"/>
      <c r="X1347" s="15"/>
      <c r="Y1347" s="15"/>
      <c r="Z1347" s="15"/>
    </row>
    <row r="1348" spans="2:26" ht="14" customHeight="1" x14ac:dyDescent="0.25">
      <c r="B1348" s="78">
        <v>7</v>
      </c>
      <c r="C1348" s="9" t="s">
        <v>641</v>
      </c>
      <c r="D1348" s="112">
        <v>0.11</v>
      </c>
      <c r="E1348" s="45">
        <f t="shared" si="83"/>
        <v>2.1916279811121517E-2</v>
      </c>
      <c r="F1348" s="45"/>
      <c r="G1348" s="45"/>
      <c r="H1348" s="104">
        <v>5.0190999999999999</v>
      </c>
      <c r="I1348" s="59"/>
      <c r="J1348" s="78">
        <v>7</v>
      </c>
      <c r="K1348" s="9" t="s">
        <v>641</v>
      </c>
      <c r="L1348" s="112">
        <v>0.46</v>
      </c>
      <c r="M1348" s="45">
        <f t="shared" si="84"/>
        <v>2.0447443402810191E-2</v>
      </c>
      <c r="N1348" s="104">
        <v>22.496700000000001</v>
      </c>
      <c r="O1348" s="234"/>
      <c r="P1348" s="15"/>
      <c r="Q1348" s="15"/>
      <c r="R1348" s="15"/>
      <c r="S1348" s="15"/>
      <c r="T1348" s="15"/>
      <c r="U1348" s="15"/>
      <c r="V1348" s="15"/>
      <c r="W1348" s="15"/>
      <c r="X1348" s="15"/>
      <c r="Y1348" s="15"/>
      <c r="Z1348" s="15"/>
    </row>
    <row r="1349" spans="2:26" ht="14" customHeight="1" x14ac:dyDescent="0.25">
      <c r="B1349" s="78">
        <v>8</v>
      </c>
      <c r="C1349" s="9" t="s">
        <v>566</v>
      </c>
      <c r="D1349" s="112">
        <v>0.1</v>
      </c>
      <c r="E1349" s="45">
        <f t="shared" si="83"/>
        <v>1.9923890737383199E-2</v>
      </c>
      <c r="F1349" s="45"/>
      <c r="G1349" s="45"/>
      <c r="H1349" s="104">
        <v>5.0190999999999999</v>
      </c>
      <c r="I1349" s="59"/>
      <c r="J1349" s="78">
        <v>8</v>
      </c>
      <c r="K1349" s="9" t="s">
        <v>73</v>
      </c>
      <c r="L1349" s="112">
        <v>0.43</v>
      </c>
      <c r="M1349" s="45">
        <f t="shared" si="84"/>
        <v>1.9113914485235611E-2</v>
      </c>
      <c r="N1349" s="104">
        <v>22.496700000000001</v>
      </c>
      <c r="P1349" s="15"/>
      <c r="Q1349" s="15"/>
      <c r="R1349" s="15"/>
      <c r="S1349" s="15"/>
      <c r="T1349" s="15"/>
      <c r="U1349" s="15"/>
      <c r="V1349" s="15"/>
      <c r="W1349" s="15"/>
      <c r="X1349" s="15"/>
      <c r="Y1349" s="15"/>
      <c r="Z1349" s="15"/>
    </row>
    <row r="1350" spans="2:26" ht="14" customHeight="1" x14ac:dyDescent="0.25">
      <c r="B1350" s="78">
        <v>9</v>
      </c>
      <c r="C1350" s="9" t="s">
        <v>73</v>
      </c>
      <c r="D1350" s="112">
        <v>0.08</v>
      </c>
      <c r="E1350" s="45">
        <f t="shared" si="83"/>
        <v>1.5939112589906556E-2</v>
      </c>
      <c r="F1350" s="45"/>
      <c r="G1350" s="45"/>
      <c r="H1350" s="104">
        <v>5.0190999999999999</v>
      </c>
      <c r="I1350" s="59"/>
      <c r="J1350" s="78">
        <v>9</v>
      </c>
      <c r="K1350" s="9" t="s">
        <v>606</v>
      </c>
      <c r="L1350" s="112">
        <v>0.38</v>
      </c>
      <c r="M1350" s="45">
        <f t="shared" si="84"/>
        <v>1.6891366289277981E-2</v>
      </c>
      <c r="N1350" s="104">
        <v>22.496700000000001</v>
      </c>
      <c r="P1350" s="15"/>
      <c r="Q1350" s="15"/>
      <c r="R1350" s="15"/>
      <c r="S1350" s="15"/>
      <c r="T1350" s="15"/>
      <c r="U1350" s="15"/>
      <c r="V1350" s="15"/>
      <c r="W1350" s="15"/>
      <c r="X1350" s="15"/>
      <c r="Y1350" s="15"/>
      <c r="Z1350" s="15"/>
    </row>
    <row r="1351" spans="2:26" ht="14" customHeight="1" x14ac:dyDescent="0.25">
      <c r="B1351" s="80">
        <v>10</v>
      </c>
      <c r="C1351" s="110" t="s">
        <v>426</v>
      </c>
      <c r="D1351" s="114">
        <v>0.08</v>
      </c>
      <c r="E1351" s="116">
        <f t="shared" si="83"/>
        <v>1.5936254980079684E-2</v>
      </c>
      <c r="F1351" s="116"/>
      <c r="G1351" s="116"/>
      <c r="H1351" s="105">
        <v>5.0199999999999996</v>
      </c>
      <c r="I1351" s="59"/>
      <c r="J1351" s="80">
        <v>10</v>
      </c>
      <c r="K1351" s="110" t="s">
        <v>590</v>
      </c>
      <c r="L1351" s="114">
        <v>0.27</v>
      </c>
      <c r="M1351" s="116">
        <f t="shared" si="84"/>
        <v>1.2E-2</v>
      </c>
      <c r="N1351" s="105">
        <v>22.5</v>
      </c>
      <c r="P1351" s="15"/>
      <c r="Q1351" s="15"/>
      <c r="R1351" s="15"/>
      <c r="S1351" s="15"/>
      <c r="T1351" s="15"/>
      <c r="U1351" s="15"/>
      <c r="V1351" s="15"/>
      <c r="W1351" s="15"/>
      <c r="X1351" s="15"/>
      <c r="Y1351" s="15"/>
      <c r="Z1351" s="15"/>
    </row>
    <row r="1352" spans="2:26" ht="14" customHeight="1" x14ac:dyDescent="0.25">
      <c r="C1352" s="59"/>
      <c r="D1352" s="58"/>
      <c r="E1352" s="56"/>
      <c r="F1352" s="56"/>
      <c r="G1352" s="56"/>
      <c r="H1352" s="59"/>
      <c r="I1352" s="59"/>
      <c r="K1352" s="59"/>
      <c r="L1352" s="58"/>
      <c r="M1352" s="56"/>
      <c r="N1352" s="59"/>
      <c r="O1352" s="49"/>
      <c r="P1352" s="15"/>
      <c r="Q1352" s="15"/>
      <c r="R1352" s="15"/>
      <c r="S1352" s="15"/>
      <c r="T1352" s="15"/>
      <c r="U1352" s="15"/>
      <c r="V1352" s="15"/>
      <c r="W1352" s="15"/>
      <c r="X1352" s="15"/>
      <c r="Y1352" s="15"/>
      <c r="Z1352" s="15"/>
    </row>
    <row r="1353" spans="2:26" ht="14" customHeight="1" x14ac:dyDescent="0.25">
      <c r="C1353" s="59"/>
      <c r="D1353" s="58"/>
      <c r="E1353" s="56"/>
      <c r="F1353" s="56"/>
      <c r="G1353" s="56"/>
      <c r="H1353" s="59"/>
      <c r="I1353" s="59"/>
      <c r="K1353" s="59"/>
      <c r="L1353" s="58"/>
      <c r="M1353" s="56"/>
      <c r="N1353" s="59"/>
      <c r="O1353" s="234"/>
      <c r="P1353" s="15"/>
      <c r="Q1353" s="15"/>
      <c r="R1353" s="15"/>
      <c r="S1353" s="15"/>
      <c r="T1353" s="15"/>
      <c r="U1353" s="15"/>
      <c r="V1353" s="15"/>
      <c r="W1353" s="15"/>
      <c r="X1353" s="15"/>
      <c r="Y1353" s="15"/>
      <c r="Z1353" s="15"/>
    </row>
    <row r="1354" spans="2:26" ht="14" customHeight="1" x14ac:dyDescent="0.25">
      <c r="B1354" s="15" t="s">
        <v>642</v>
      </c>
      <c r="D1354" s="48"/>
      <c r="E1354" s="16"/>
      <c r="F1354" s="16"/>
      <c r="G1354" s="16"/>
      <c r="J1354" s="15" t="s">
        <v>643</v>
      </c>
      <c r="L1354" s="48"/>
      <c r="M1354" s="16"/>
      <c r="O1354" s="234"/>
      <c r="P1354" s="15"/>
      <c r="Q1354" s="15"/>
      <c r="R1354" s="15"/>
      <c r="S1354" s="15"/>
      <c r="T1354" s="15"/>
      <c r="U1354" s="15"/>
      <c r="V1354" s="15"/>
      <c r="W1354" s="15"/>
      <c r="X1354" s="15"/>
      <c r="Y1354" s="15"/>
      <c r="Z1354" s="15"/>
    </row>
    <row r="1355" spans="2:26" ht="14" customHeight="1" x14ac:dyDescent="0.25">
      <c r="B1355" s="83" t="s">
        <v>582</v>
      </c>
      <c r="C1355" s="85" t="s">
        <v>335</v>
      </c>
      <c r="D1355" s="87" t="s">
        <v>583</v>
      </c>
      <c r="E1355" s="107" t="s">
        <v>337</v>
      </c>
      <c r="F1355" s="107"/>
      <c r="G1355" s="107"/>
      <c r="H1355" s="108" t="s">
        <v>584</v>
      </c>
      <c r="I1355" s="59"/>
      <c r="J1355" s="83" t="s">
        <v>582</v>
      </c>
      <c r="K1355" s="85" t="s">
        <v>335</v>
      </c>
      <c r="L1355" s="87" t="s">
        <v>583</v>
      </c>
      <c r="M1355" s="107" t="s">
        <v>337</v>
      </c>
      <c r="N1355" s="108" t="s">
        <v>587</v>
      </c>
      <c r="O1355" s="234"/>
      <c r="P1355" s="15"/>
      <c r="Q1355" s="15"/>
      <c r="R1355" s="15"/>
      <c r="S1355" s="15"/>
      <c r="T1355" s="15"/>
      <c r="U1355" s="15"/>
      <c r="V1355" s="15"/>
      <c r="W1355" s="15"/>
      <c r="X1355" s="15"/>
      <c r="Y1355" s="15"/>
      <c r="Z1355" s="15"/>
    </row>
    <row r="1356" spans="2:26" ht="14" customHeight="1" x14ac:dyDescent="0.25">
      <c r="B1356" s="78">
        <v>1</v>
      </c>
      <c r="C1356" s="9" t="s">
        <v>68</v>
      </c>
      <c r="D1356" s="112">
        <v>2.29</v>
      </c>
      <c r="E1356" s="45">
        <f t="shared" ref="E1356:E1365" si="85">D1356/H1356</f>
        <v>0.48730662013491371</v>
      </c>
      <c r="F1356" s="45"/>
      <c r="G1356" s="45"/>
      <c r="H1356" s="104">
        <v>4.6993</v>
      </c>
      <c r="I1356" s="59"/>
      <c r="J1356" s="78">
        <v>1</v>
      </c>
      <c r="K1356" s="9" t="s">
        <v>68</v>
      </c>
      <c r="L1356" s="112">
        <v>8.44</v>
      </c>
      <c r="M1356" s="45">
        <f t="shared" ref="M1356:M1365" si="86">L1356/N1356</f>
        <v>0.48290383118963703</v>
      </c>
      <c r="N1356" s="104">
        <v>17.477599999999999</v>
      </c>
      <c r="O1356" s="234"/>
      <c r="P1356" s="15"/>
      <c r="Q1356" s="15"/>
      <c r="R1356" s="15"/>
      <c r="S1356" s="15"/>
      <c r="T1356" s="15"/>
      <c r="U1356" s="15"/>
      <c r="V1356" s="15"/>
      <c r="W1356" s="15"/>
      <c r="X1356" s="15"/>
      <c r="Y1356" s="15"/>
      <c r="Z1356" s="15"/>
    </row>
    <row r="1357" spans="2:26" ht="14" customHeight="1" x14ac:dyDescent="0.25">
      <c r="B1357" s="78">
        <v>2</v>
      </c>
      <c r="C1357" s="9" t="s">
        <v>601</v>
      </c>
      <c r="D1357" s="112">
        <v>0.56999999999999995</v>
      </c>
      <c r="E1357" s="45">
        <f t="shared" si="85"/>
        <v>0.12129466090694357</v>
      </c>
      <c r="F1357" s="45"/>
      <c r="G1357" s="45"/>
      <c r="H1357" s="104">
        <v>4.6993</v>
      </c>
      <c r="I1357" s="59"/>
      <c r="J1357" s="78">
        <v>2</v>
      </c>
      <c r="K1357" s="9" t="s">
        <v>69</v>
      </c>
      <c r="L1357" s="112">
        <v>2.4500000000000002</v>
      </c>
      <c r="M1357" s="45">
        <f t="shared" si="86"/>
        <v>0.1401794296699776</v>
      </c>
      <c r="N1357" s="104">
        <v>17.477599999999999</v>
      </c>
      <c r="O1357" s="234"/>
      <c r="P1357" s="15"/>
      <c r="Q1357" s="15"/>
      <c r="R1357" s="15"/>
      <c r="S1357" s="15"/>
      <c r="T1357" s="15"/>
      <c r="U1357" s="15"/>
      <c r="V1357" s="15"/>
      <c r="W1357" s="15"/>
      <c r="X1357" s="15"/>
      <c r="Y1357" s="15"/>
      <c r="Z1357" s="15"/>
    </row>
    <row r="1358" spans="2:26" ht="14" customHeight="1" x14ac:dyDescent="0.25">
      <c r="B1358" s="78">
        <v>3</v>
      </c>
      <c r="C1358" s="9" t="s">
        <v>69</v>
      </c>
      <c r="D1358" s="112">
        <v>0.53</v>
      </c>
      <c r="E1358" s="45">
        <f t="shared" si="85"/>
        <v>0.11278275487838615</v>
      </c>
      <c r="F1358" s="45"/>
      <c r="G1358" s="45"/>
      <c r="H1358" s="104">
        <v>4.6993</v>
      </c>
      <c r="I1358" s="59"/>
      <c r="J1358" s="78">
        <v>3</v>
      </c>
      <c r="K1358" s="9" t="s">
        <v>601</v>
      </c>
      <c r="L1358" s="112">
        <v>1.67</v>
      </c>
      <c r="M1358" s="45">
        <f t="shared" si="86"/>
        <v>9.5550876550556149E-2</v>
      </c>
      <c r="N1358" s="104">
        <v>17.477599999999999</v>
      </c>
      <c r="O1358" s="234"/>
      <c r="P1358" s="15"/>
      <c r="Q1358" s="15"/>
      <c r="R1358" s="15"/>
      <c r="S1358" s="15"/>
      <c r="T1358" s="15"/>
      <c r="U1358" s="15"/>
      <c r="V1358" s="15"/>
      <c r="W1358" s="15"/>
      <c r="X1358" s="15"/>
      <c r="Y1358" s="15"/>
      <c r="Z1358" s="15"/>
    </row>
    <row r="1359" spans="2:26" ht="14" customHeight="1" x14ac:dyDescent="0.25">
      <c r="B1359" s="78">
        <v>4</v>
      </c>
      <c r="C1359" s="9" t="s">
        <v>595</v>
      </c>
      <c r="D1359" s="112">
        <v>0.27</v>
      </c>
      <c r="E1359" s="45">
        <f t="shared" si="85"/>
        <v>5.7455365692762758E-2</v>
      </c>
      <c r="F1359" s="45"/>
      <c r="G1359" s="45"/>
      <c r="H1359" s="104">
        <v>4.6993</v>
      </c>
      <c r="I1359" s="59"/>
      <c r="J1359" s="78">
        <v>4</v>
      </c>
      <c r="K1359" s="9" t="s">
        <v>72</v>
      </c>
      <c r="L1359" s="112">
        <v>1.17</v>
      </c>
      <c r="M1359" s="45">
        <f t="shared" si="86"/>
        <v>6.6942829679132149E-2</v>
      </c>
      <c r="N1359" s="104">
        <v>17.477599999999999</v>
      </c>
      <c r="O1359" s="234"/>
      <c r="P1359" s="15"/>
      <c r="Q1359" s="15"/>
      <c r="R1359" s="15"/>
      <c r="S1359" s="15"/>
      <c r="T1359" s="15"/>
      <c r="U1359" s="15"/>
      <c r="V1359" s="15"/>
      <c r="W1359" s="15"/>
      <c r="X1359" s="15"/>
      <c r="Y1359" s="15"/>
      <c r="Z1359" s="15"/>
    </row>
    <row r="1360" spans="2:26" ht="14" customHeight="1" x14ac:dyDescent="0.25">
      <c r="B1360" s="78">
        <v>5</v>
      </c>
      <c r="C1360" s="9" t="s">
        <v>70</v>
      </c>
      <c r="D1360" s="112">
        <v>0.2</v>
      </c>
      <c r="E1360" s="45">
        <f t="shared" si="85"/>
        <v>4.2559530142787225E-2</v>
      </c>
      <c r="F1360" s="45"/>
      <c r="G1360" s="45"/>
      <c r="H1360" s="104">
        <v>4.6993</v>
      </c>
      <c r="I1360" s="59"/>
      <c r="J1360" s="78">
        <v>5</v>
      </c>
      <c r="K1360" s="9" t="s">
        <v>595</v>
      </c>
      <c r="L1360" s="112">
        <v>0.76</v>
      </c>
      <c r="M1360" s="45">
        <f t="shared" si="86"/>
        <v>4.3484231244564471E-2</v>
      </c>
      <c r="N1360" s="104">
        <v>17.477599999999999</v>
      </c>
      <c r="O1360" s="234"/>
      <c r="P1360" s="15"/>
      <c r="Q1360" s="15"/>
      <c r="R1360" s="15"/>
      <c r="S1360" s="15"/>
      <c r="T1360" s="15"/>
      <c r="U1360" s="15"/>
      <c r="V1360" s="15"/>
      <c r="W1360" s="15"/>
      <c r="X1360" s="15"/>
      <c r="Y1360" s="15"/>
      <c r="Z1360" s="15"/>
    </row>
    <row r="1361" spans="2:26" ht="14" customHeight="1" x14ac:dyDescent="0.25">
      <c r="B1361" s="78">
        <v>6</v>
      </c>
      <c r="C1361" s="9" t="s">
        <v>72</v>
      </c>
      <c r="D1361" s="112">
        <v>0.13</v>
      </c>
      <c r="E1361" s="45">
        <f t="shared" si="85"/>
        <v>2.7663694592811695E-2</v>
      </c>
      <c r="F1361" s="45"/>
      <c r="G1361" s="45"/>
      <c r="H1361" s="104">
        <v>4.6993</v>
      </c>
      <c r="I1361" s="59"/>
      <c r="J1361" s="78">
        <v>6</v>
      </c>
      <c r="K1361" s="9" t="s">
        <v>70</v>
      </c>
      <c r="L1361" s="112">
        <v>0.66</v>
      </c>
      <c r="M1361" s="45">
        <f t="shared" si="86"/>
        <v>3.7762621870279678E-2</v>
      </c>
      <c r="N1361" s="104">
        <v>17.477599999999999</v>
      </c>
      <c r="O1361" s="234"/>
      <c r="P1361" s="15"/>
      <c r="Q1361" s="15"/>
      <c r="R1361" s="15"/>
      <c r="S1361" s="15"/>
      <c r="T1361" s="15"/>
      <c r="U1361" s="15"/>
      <c r="V1361" s="15"/>
      <c r="W1361" s="15"/>
      <c r="X1361" s="15"/>
      <c r="Y1361" s="15"/>
      <c r="Z1361" s="15"/>
    </row>
    <row r="1362" spans="2:26" ht="14" customHeight="1" x14ac:dyDescent="0.25">
      <c r="B1362" s="78">
        <v>7</v>
      </c>
      <c r="C1362" s="9" t="s">
        <v>73</v>
      </c>
      <c r="D1362" s="112">
        <v>0.11</v>
      </c>
      <c r="E1362" s="45">
        <f t="shared" si="85"/>
        <v>2.3407741578532974E-2</v>
      </c>
      <c r="F1362" s="45"/>
      <c r="G1362" s="45"/>
      <c r="H1362" s="104">
        <v>4.6993</v>
      </c>
      <c r="I1362" s="59"/>
      <c r="J1362" s="78">
        <v>7</v>
      </c>
      <c r="K1362" s="9" t="s">
        <v>641</v>
      </c>
      <c r="L1362" s="112">
        <v>0.35</v>
      </c>
      <c r="M1362" s="45">
        <f t="shared" si="86"/>
        <v>2.0025632809996797E-2</v>
      </c>
      <c r="N1362" s="104">
        <v>17.477599999999999</v>
      </c>
      <c r="O1362" s="234"/>
      <c r="P1362" s="15"/>
      <c r="Q1362" s="15"/>
      <c r="R1362" s="15"/>
      <c r="S1362" s="15"/>
      <c r="T1362" s="15"/>
      <c r="U1362" s="15"/>
      <c r="V1362" s="15"/>
      <c r="W1362" s="15"/>
      <c r="X1362" s="15"/>
      <c r="Y1362" s="15"/>
      <c r="Z1362" s="15"/>
    </row>
    <row r="1363" spans="2:26" ht="14" customHeight="1" x14ac:dyDescent="0.25">
      <c r="B1363" s="78">
        <v>8</v>
      </c>
      <c r="C1363" s="9" t="s">
        <v>641</v>
      </c>
      <c r="D1363" s="112">
        <v>0.11</v>
      </c>
      <c r="E1363" s="45">
        <f t="shared" si="85"/>
        <v>2.3407741578532974E-2</v>
      </c>
      <c r="F1363" s="45"/>
      <c r="G1363" s="45"/>
      <c r="H1363" s="104">
        <v>4.6993</v>
      </c>
      <c r="I1363" s="59"/>
      <c r="J1363" s="78">
        <v>8</v>
      </c>
      <c r="K1363" s="9" t="s">
        <v>73</v>
      </c>
      <c r="L1363" s="112">
        <v>0.35</v>
      </c>
      <c r="M1363" s="45">
        <f t="shared" si="86"/>
        <v>2.0025632809996797E-2</v>
      </c>
      <c r="N1363" s="104">
        <v>17.477599999999999</v>
      </c>
      <c r="P1363" s="15"/>
      <c r="Q1363" s="15"/>
      <c r="R1363" s="15"/>
      <c r="S1363" s="15"/>
      <c r="T1363" s="15"/>
      <c r="U1363" s="15"/>
      <c r="V1363" s="15"/>
      <c r="W1363" s="15"/>
      <c r="X1363" s="15"/>
      <c r="Y1363" s="15"/>
      <c r="Z1363" s="15"/>
    </row>
    <row r="1364" spans="2:26" ht="14" customHeight="1" x14ac:dyDescent="0.25">
      <c r="B1364" s="78">
        <v>9</v>
      </c>
      <c r="C1364" s="9" t="s">
        <v>606</v>
      </c>
      <c r="D1364" s="112">
        <v>0.08</v>
      </c>
      <c r="E1364" s="45">
        <f t="shared" si="85"/>
        <v>1.7023812057114888E-2</v>
      </c>
      <c r="F1364" s="45"/>
      <c r="G1364" s="45"/>
      <c r="H1364" s="104">
        <v>4.6993</v>
      </c>
      <c r="I1364" s="59"/>
      <c r="J1364" s="78">
        <v>9</v>
      </c>
      <c r="K1364" s="9" t="s">
        <v>606</v>
      </c>
      <c r="L1364" s="112">
        <v>0.3</v>
      </c>
      <c r="M1364" s="45">
        <f t="shared" si="86"/>
        <v>1.7164828122854397E-2</v>
      </c>
      <c r="N1364" s="104">
        <v>17.477599999999999</v>
      </c>
      <c r="P1364" s="15"/>
      <c r="Q1364" s="15"/>
      <c r="R1364" s="15"/>
      <c r="S1364" s="15"/>
      <c r="T1364" s="15"/>
      <c r="U1364" s="15"/>
      <c r="V1364" s="15"/>
      <c r="W1364" s="15"/>
      <c r="X1364" s="15"/>
      <c r="Y1364" s="15"/>
      <c r="Z1364" s="15"/>
    </row>
    <row r="1365" spans="2:26" ht="14" customHeight="1" x14ac:dyDescent="0.25">
      <c r="B1365" s="80">
        <v>10</v>
      </c>
      <c r="C1365" s="110" t="s">
        <v>619</v>
      </c>
      <c r="D1365" s="114">
        <v>0.06</v>
      </c>
      <c r="E1365" s="116">
        <f t="shared" si="85"/>
        <v>1.276595744680851E-2</v>
      </c>
      <c r="F1365" s="116"/>
      <c r="G1365" s="116"/>
      <c r="H1365" s="105">
        <v>4.7</v>
      </c>
      <c r="I1365" s="59"/>
      <c r="J1365" s="80">
        <v>10</v>
      </c>
      <c r="K1365" s="110" t="s">
        <v>590</v>
      </c>
      <c r="L1365" s="114">
        <v>0.24</v>
      </c>
      <c r="M1365" s="116">
        <f t="shared" si="86"/>
        <v>1.3729977116704805E-2</v>
      </c>
      <c r="N1365" s="105">
        <v>17.48</v>
      </c>
      <c r="P1365" s="15"/>
      <c r="Q1365" s="15"/>
      <c r="R1365" s="15"/>
      <c r="S1365" s="15"/>
      <c r="T1365" s="15"/>
      <c r="U1365" s="15"/>
      <c r="V1365" s="15"/>
      <c r="W1365" s="15"/>
      <c r="X1365" s="15"/>
      <c r="Y1365" s="15"/>
      <c r="Z1365" s="15"/>
    </row>
    <row r="1366" spans="2:26" ht="14" customHeight="1" x14ac:dyDescent="0.25">
      <c r="D1366" s="48"/>
      <c r="E1366" s="16"/>
      <c r="F1366" s="16"/>
      <c r="G1366" s="16"/>
      <c r="L1366" s="48"/>
      <c r="M1366" s="16"/>
      <c r="O1366" s="49"/>
      <c r="P1366" s="15"/>
      <c r="Q1366" s="15"/>
      <c r="R1366" s="15"/>
      <c r="S1366" s="15"/>
      <c r="T1366" s="15"/>
      <c r="U1366" s="15"/>
      <c r="V1366" s="15"/>
      <c r="W1366" s="15"/>
      <c r="X1366" s="15"/>
      <c r="Y1366" s="15"/>
      <c r="Z1366" s="15"/>
    </row>
    <row r="1367" spans="2:26" ht="14" customHeight="1" x14ac:dyDescent="0.25">
      <c r="D1367" s="48"/>
      <c r="E1367" s="16"/>
      <c r="F1367" s="16"/>
      <c r="G1367" s="16"/>
      <c r="L1367" s="48"/>
      <c r="M1367" s="16"/>
      <c r="O1367" s="234"/>
      <c r="P1367" s="15"/>
      <c r="Q1367" s="15"/>
      <c r="R1367" s="15"/>
      <c r="S1367" s="15"/>
      <c r="T1367" s="15"/>
      <c r="U1367" s="15"/>
      <c r="V1367" s="15"/>
      <c r="W1367" s="15"/>
      <c r="X1367" s="15"/>
      <c r="Y1367" s="15"/>
      <c r="Z1367" s="15"/>
    </row>
    <row r="1368" spans="2:26" ht="14" customHeight="1" x14ac:dyDescent="0.25">
      <c r="B1368" s="15" t="s">
        <v>644</v>
      </c>
      <c r="D1368" s="48"/>
      <c r="E1368" s="16"/>
      <c r="F1368" s="16"/>
      <c r="G1368" s="16"/>
      <c r="J1368" s="15" t="s">
        <v>645</v>
      </c>
      <c r="L1368" s="48"/>
      <c r="M1368" s="16"/>
      <c r="O1368" s="234"/>
      <c r="P1368" s="15"/>
      <c r="Q1368" s="15"/>
      <c r="R1368" s="15"/>
      <c r="S1368" s="15"/>
      <c r="T1368" s="15"/>
      <c r="U1368" s="15"/>
      <c r="V1368" s="15"/>
      <c r="W1368" s="15"/>
      <c r="X1368" s="15"/>
      <c r="Y1368" s="15"/>
      <c r="Z1368" s="15"/>
    </row>
    <row r="1369" spans="2:26" ht="14" customHeight="1" x14ac:dyDescent="0.25">
      <c r="B1369" s="83" t="s">
        <v>582</v>
      </c>
      <c r="C1369" s="85" t="s">
        <v>335</v>
      </c>
      <c r="D1369" s="87" t="s">
        <v>583</v>
      </c>
      <c r="E1369" s="107" t="s">
        <v>337</v>
      </c>
      <c r="F1369" s="107"/>
      <c r="G1369" s="107"/>
      <c r="H1369" s="108" t="s">
        <v>584</v>
      </c>
      <c r="I1369" s="59"/>
      <c r="J1369" s="83" t="s">
        <v>582</v>
      </c>
      <c r="K1369" s="85" t="s">
        <v>335</v>
      </c>
      <c r="L1369" s="87" t="s">
        <v>583</v>
      </c>
      <c r="M1369" s="107" t="s">
        <v>337</v>
      </c>
      <c r="N1369" s="108" t="s">
        <v>587</v>
      </c>
      <c r="O1369" s="234"/>
      <c r="P1369" s="15"/>
      <c r="Q1369" s="15"/>
      <c r="R1369" s="15"/>
      <c r="S1369" s="15"/>
      <c r="T1369" s="15"/>
      <c r="U1369" s="15"/>
      <c r="V1369" s="15"/>
      <c r="W1369" s="15"/>
      <c r="X1369" s="15"/>
      <c r="Y1369" s="15"/>
      <c r="Z1369" s="15"/>
    </row>
    <row r="1370" spans="2:26" ht="14" customHeight="1" x14ac:dyDescent="0.25">
      <c r="B1370" s="78">
        <v>1</v>
      </c>
      <c r="C1370" s="9" t="s">
        <v>68</v>
      </c>
      <c r="D1370" s="112">
        <v>1.59</v>
      </c>
      <c r="E1370" s="45">
        <f t="shared" ref="E1370:E1379" si="87">D1370/H1370</f>
        <v>0.45348240260110662</v>
      </c>
      <c r="F1370" s="45"/>
      <c r="G1370" s="45"/>
      <c r="H1370" s="104">
        <v>3.5062000000000002</v>
      </c>
      <c r="I1370" s="59"/>
      <c r="J1370" s="78">
        <v>1</v>
      </c>
      <c r="K1370" s="9" t="s">
        <v>68</v>
      </c>
      <c r="L1370" s="112">
        <v>6.15</v>
      </c>
      <c r="M1370" s="45">
        <f t="shared" ref="M1370:M1379" si="88">L1370/N1370</f>
        <v>0.48128467793055418</v>
      </c>
      <c r="N1370" s="104">
        <v>12.7783</v>
      </c>
      <c r="O1370" s="234"/>
      <c r="P1370" s="15"/>
      <c r="Q1370" s="15"/>
      <c r="R1370" s="15"/>
      <c r="S1370" s="15"/>
      <c r="T1370" s="15"/>
      <c r="U1370" s="15"/>
      <c r="V1370" s="15"/>
      <c r="W1370" s="15"/>
      <c r="X1370" s="15"/>
      <c r="Y1370" s="15"/>
      <c r="Z1370" s="15"/>
    </row>
    <row r="1371" spans="2:26" ht="14" customHeight="1" x14ac:dyDescent="0.25">
      <c r="B1371" s="78">
        <v>2</v>
      </c>
      <c r="C1371" s="9" t="s">
        <v>69</v>
      </c>
      <c r="D1371" s="112">
        <v>0.39</v>
      </c>
      <c r="E1371" s="45">
        <f t="shared" si="87"/>
        <v>0.11123153271347898</v>
      </c>
      <c r="F1371" s="45"/>
      <c r="G1371" s="45"/>
      <c r="H1371" s="104">
        <v>3.5062000000000002</v>
      </c>
      <c r="I1371" s="59"/>
      <c r="J1371" s="78">
        <v>2</v>
      </c>
      <c r="K1371" s="9" t="s">
        <v>69</v>
      </c>
      <c r="L1371" s="112">
        <v>1.92</v>
      </c>
      <c r="M1371" s="45">
        <f t="shared" si="88"/>
        <v>0.15025472871978277</v>
      </c>
      <c r="N1371" s="104">
        <v>12.7783</v>
      </c>
      <c r="O1371" s="234"/>
      <c r="P1371" s="15"/>
      <c r="Q1371" s="15"/>
      <c r="R1371" s="15"/>
      <c r="S1371" s="15"/>
      <c r="T1371" s="15"/>
      <c r="U1371" s="15"/>
      <c r="V1371" s="15"/>
      <c r="W1371" s="15"/>
      <c r="X1371" s="15"/>
      <c r="Y1371" s="15"/>
      <c r="Z1371" s="15"/>
    </row>
    <row r="1372" spans="2:26" ht="14" customHeight="1" x14ac:dyDescent="0.25">
      <c r="B1372" s="78">
        <v>3</v>
      </c>
      <c r="C1372" s="9" t="s">
        <v>601</v>
      </c>
      <c r="D1372" s="112">
        <v>0.37</v>
      </c>
      <c r="E1372" s="45">
        <f t="shared" si="87"/>
        <v>0.10552735154868517</v>
      </c>
      <c r="F1372" s="45"/>
      <c r="G1372" s="45"/>
      <c r="H1372" s="104">
        <v>3.5062000000000002</v>
      </c>
      <c r="I1372" s="59"/>
      <c r="J1372" s="78">
        <v>3</v>
      </c>
      <c r="K1372" s="9" t="s">
        <v>601</v>
      </c>
      <c r="L1372" s="112">
        <v>1.0900000000000001</v>
      </c>
      <c r="M1372" s="45">
        <f t="shared" si="88"/>
        <v>8.5300861616960016E-2</v>
      </c>
      <c r="N1372" s="104">
        <v>12.7783</v>
      </c>
      <c r="O1372" s="234"/>
      <c r="P1372" s="15"/>
      <c r="Q1372" s="15"/>
      <c r="R1372" s="15"/>
      <c r="S1372" s="15"/>
      <c r="T1372" s="15"/>
      <c r="U1372" s="15"/>
      <c r="V1372" s="15"/>
      <c r="W1372" s="15"/>
      <c r="X1372" s="15"/>
      <c r="Y1372" s="15"/>
      <c r="Z1372" s="15"/>
    </row>
    <row r="1373" spans="2:26" ht="14" customHeight="1" x14ac:dyDescent="0.25">
      <c r="B1373" s="78">
        <v>4</v>
      </c>
      <c r="C1373" s="9" t="s">
        <v>72</v>
      </c>
      <c r="D1373" s="112">
        <v>0.28000000000000003</v>
      </c>
      <c r="E1373" s="45">
        <f t="shared" si="87"/>
        <v>7.985853630711312E-2</v>
      </c>
      <c r="F1373" s="45"/>
      <c r="G1373" s="45"/>
      <c r="H1373" s="104">
        <v>3.5062000000000002</v>
      </c>
      <c r="I1373" s="59"/>
      <c r="J1373" s="78">
        <v>4</v>
      </c>
      <c r="K1373" s="9" t="s">
        <v>72</v>
      </c>
      <c r="L1373" s="112">
        <v>1.04</v>
      </c>
      <c r="M1373" s="45">
        <f t="shared" si="88"/>
        <v>8.1387978056549001E-2</v>
      </c>
      <c r="N1373" s="104">
        <v>12.7783</v>
      </c>
      <c r="O1373" s="234"/>
      <c r="P1373" s="15"/>
      <c r="Q1373" s="15"/>
      <c r="R1373" s="15"/>
      <c r="S1373" s="15"/>
      <c r="T1373" s="15"/>
      <c r="U1373" s="15"/>
      <c r="V1373" s="15"/>
      <c r="W1373" s="15"/>
      <c r="X1373" s="15"/>
      <c r="Y1373" s="15"/>
      <c r="Z1373" s="15"/>
    </row>
    <row r="1374" spans="2:26" ht="14" customHeight="1" x14ac:dyDescent="0.25">
      <c r="B1374" s="78">
        <v>5</v>
      </c>
      <c r="C1374" s="9" t="s">
        <v>595</v>
      </c>
      <c r="D1374" s="112">
        <v>0.22</v>
      </c>
      <c r="E1374" s="45">
        <f t="shared" si="87"/>
        <v>6.274599281273173E-2</v>
      </c>
      <c r="F1374" s="45"/>
      <c r="G1374" s="45"/>
      <c r="H1374" s="104">
        <v>3.5062000000000002</v>
      </c>
      <c r="I1374" s="59"/>
      <c r="J1374" s="78">
        <v>5</v>
      </c>
      <c r="K1374" s="9" t="s">
        <v>595</v>
      </c>
      <c r="L1374" s="112">
        <v>0.49</v>
      </c>
      <c r="M1374" s="45">
        <f t="shared" si="88"/>
        <v>3.834625889202789E-2</v>
      </c>
      <c r="N1374" s="104">
        <v>12.7783</v>
      </c>
      <c r="O1374" s="234"/>
      <c r="P1374" s="15"/>
      <c r="Q1374" s="15"/>
      <c r="R1374" s="15"/>
      <c r="S1374" s="15"/>
      <c r="T1374" s="15"/>
      <c r="U1374" s="15"/>
      <c r="V1374" s="15"/>
      <c r="W1374" s="15"/>
      <c r="X1374" s="15"/>
      <c r="Y1374" s="15"/>
      <c r="Z1374" s="15"/>
    </row>
    <row r="1375" spans="2:26" ht="14" customHeight="1" x14ac:dyDescent="0.25">
      <c r="B1375" s="78">
        <v>6</v>
      </c>
      <c r="C1375" s="9" t="s">
        <v>70</v>
      </c>
      <c r="D1375" s="112">
        <v>0.12</v>
      </c>
      <c r="E1375" s="45">
        <f t="shared" si="87"/>
        <v>3.4225086988762761E-2</v>
      </c>
      <c r="F1375" s="45"/>
      <c r="G1375" s="45"/>
      <c r="H1375" s="104">
        <v>3.5062000000000002</v>
      </c>
      <c r="I1375" s="59"/>
      <c r="J1375" s="78">
        <v>6</v>
      </c>
      <c r="K1375" s="9" t="s">
        <v>70</v>
      </c>
      <c r="L1375" s="112">
        <v>0.46</v>
      </c>
      <c r="M1375" s="45">
        <f t="shared" si="88"/>
        <v>3.5998528755781287E-2</v>
      </c>
      <c r="N1375" s="104">
        <v>12.7783</v>
      </c>
      <c r="O1375" s="234"/>
      <c r="P1375" s="15"/>
      <c r="Q1375" s="15"/>
      <c r="R1375" s="15"/>
      <c r="S1375" s="15"/>
      <c r="T1375" s="15"/>
      <c r="U1375" s="15"/>
      <c r="V1375" s="15"/>
      <c r="W1375" s="15"/>
      <c r="X1375" s="15"/>
      <c r="Y1375" s="15"/>
      <c r="Z1375" s="15"/>
    </row>
    <row r="1376" spans="2:26" ht="14" customHeight="1" x14ac:dyDescent="0.25">
      <c r="B1376" s="78">
        <v>7</v>
      </c>
      <c r="C1376" s="9" t="s">
        <v>641</v>
      </c>
      <c r="D1376" s="112">
        <v>0.1</v>
      </c>
      <c r="E1376" s="45">
        <f t="shared" si="87"/>
        <v>2.8520905823968969E-2</v>
      </c>
      <c r="F1376" s="45"/>
      <c r="G1376" s="45"/>
      <c r="H1376" s="104">
        <v>3.5062000000000002</v>
      </c>
      <c r="I1376" s="59"/>
      <c r="J1376" s="78">
        <v>7</v>
      </c>
      <c r="K1376" s="9" t="s">
        <v>641</v>
      </c>
      <c r="L1376" s="112">
        <v>0.25</v>
      </c>
      <c r="M1376" s="45">
        <f t="shared" si="88"/>
        <v>1.9564417802055048E-2</v>
      </c>
      <c r="N1376" s="104">
        <v>12.7783</v>
      </c>
      <c r="O1376" s="234"/>
      <c r="P1376" s="15"/>
      <c r="Q1376" s="15"/>
      <c r="R1376" s="15"/>
      <c r="S1376" s="15"/>
      <c r="T1376" s="15"/>
      <c r="U1376" s="15"/>
      <c r="V1376" s="15"/>
      <c r="W1376" s="15"/>
      <c r="X1376" s="15"/>
      <c r="Y1376" s="15"/>
      <c r="Z1376" s="15"/>
    </row>
    <row r="1377" spans="2:26" ht="14" customHeight="1" x14ac:dyDescent="0.25">
      <c r="B1377" s="78">
        <v>8</v>
      </c>
      <c r="C1377" s="9" t="s">
        <v>606</v>
      </c>
      <c r="D1377" s="112">
        <v>0.06</v>
      </c>
      <c r="E1377" s="45">
        <f t="shared" si="87"/>
        <v>1.711254349438138E-2</v>
      </c>
      <c r="F1377" s="45"/>
      <c r="G1377" s="45"/>
      <c r="H1377" s="104">
        <v>3.5062000000000002</v>
      </c>
      <c r="I1377" s="59"/>
      <c r="J1377" s="78">
        <v>8</v>
      </c>
      <c r="K1377" s="9" t="s">
        <v>73</v>
      </c>
      <c r="L1377" s="112">
        <v>0.23</v>
      </c>
      <c r="M1377" s="45">
        <f t="shared" si="88"/>
        <v>1.7999264377890643E-2</v>
      </c>
      <c r="N1377" s="104">
        <v>12.7783</v>
      </c>
      <c r="P1377" s="15"/>
      <c r="Q1377" s="15"/>
      <c r="R1377" s="15"/>
      <c r="S1377" s="15"/>
      <c r="T1377" s="15"/>
      <c r="U1377" s="15"/>
      <c r="V1377" s="15"/>
      <c r="W1377" s="15"/>
      <c r="X1377" s="15"/>
      <c r="Y1377" s="15"/>
      <c r="Z1377" s="15"/>
    </row>
    <row r="1378" spans="2:26" ht="14" customHeight="1" x14ac:dyDescent="0.25">
      <c r="B1378" s="78">
        <v>9</v>
      </c>
      <c r="C1378" s="9" t="s">
        <v>590</v>
      </c>
      <c r="D1378" s="112">
        <v>0.06</v>
      </c>
      <c r="E1378" s="45">
        <f t="shared" si="87"/>
        <v>1.711254349438138E-2</v>
      </c>
      <c r="F1378" s="45"/>
      <c r="G1378" s="45"/>
      <c r="H1378" s="104">
        <v>3.5062000000000002</v>
      </c>
      <c r="I1378" s="59"/>
      <c r="J1378" s="78">
        <v>9</v>
      </c>
      <c r="K1378" s="9" t="s">
        <v>606</v>
      </c>
      <c r="L1378" s="112">
        <v>0.22</v>
      </c>
      <c r="M1378" s="45">
        <f t="shared" si="88"/>
        <v>1.7216687665808441E-2</v>
      </c>
      <c r="N1378" s="104">
        <v>12.7783</v>
      </c>
      <c r="P1378" s="15"/>
      <c r="Q1378" s="15"/>
      <c r="R1378" s="15"/>
      <c r="S1378" s="15"/>
      <c r="T1378" s="15"/>
      <c r="U1378" s="15"/>
      <c r="V1378" s="15"/>
      <c r="W1378" s="15"/>
      <c r="X1378" s="15"/>
      <c r="Y1378" s="15"/>
      <c r="Z1378" s="15"/>
    </row>
    <row r="1379" spans="2:26" ht="14" customHeight="1" x14ac:dyDescent="0.25">
      <c r="B1379" s="80">
        <v>10</v>
      </c>
      <c r="C1379" s="110" t="s">
        <v>73</v>
      </c>
      <c r="D1379" s="114">
        <v>0.05</v>
      </c>
      <c r="E1379" s="116">
        <f t="shared" si="87"/>
        <v>1.4245014245014247E-2</v>
      </c>
      <c r="F1379" s="116"/>
      <c r="G1379" s="116"/>
      <c r="H1379" s="105">
        <v>3.51</v>
      </c>
      <c r="I1379" s="59"/>
      <c r="J1379" s="80">
        <v>10</v>
      </c>
      <c r="K1379" s="110" t="s">
        <v>590</v>
      </c>
      <c r="L1379" s="114">
        <v>0.19</v>
      </c>
      <c r="M1379" s="116">
        <f t="shared" si="88"/>
        <v>1.4866979655712051E-2</v>
      </c>
      <c r="N1379" s="105">
        <v>12.78</v>
      </c>
      <c r="P1379" s="15"/>
      <c r="Q1379" s="15"/>
      <c r="R1379" s="15"/>
      <c r="S1379" s="15"/>
      <c r="T1379" s="15"/>
      <c r="U1379" s="15"/>
      <c r="V1379" s="15"/>
      <c r="W1379" s="15"/>
      <c r="X1379" s="15"/>
      <c r="Y1379" s="15"/>
      <c r="Z1379" s="15"/>
    </row>
    <row r="1380" spans="2:26" ht="14" customHeight="1" x14ac:dyDescent="0.25">
      <c r="D1380" s="48"/>
      <c r="E1380" s="16"/>
      <c r="F1380" s="16"/>
      <c r="G1380" s="16"/>
      <c r="L1380" s="48"/>
      <c r="M1380" s="16"/>
      <c r="O1380" s="49"/>
      <c r="P1380" s="15"/>
      <c r="Q1380" s="15"/>
      <c r="R1380" s="15"/>
      <c r="S1380" s="15"/>
      <c r="T1380" s="15"/>
      <c r="U1380" s="15"/>
      <c r="V1380" s="15"/>
      <c r="W1380" s="15"/>
      <c r="X1380" s="15"/>
      <c r="Y1380" s="15"/>
      <c r="Z1380" s="15"/>
    </row>
    <row r="1381" spans="2:26" ht="14" customHeight="1" x14ac:dyDescent="0.25">
      <c r="D1381" s="48"/>
      <c r="E1381" s="16"/>
      <c r="F1381" s="16"/>
      <c r="G1381" s="16"/>
      <c r="L1381" s="48"/>
      <c r="M1381" s="16"/>
      <c r="O1381" s="234"/>
      <c r="P1381" s="15"/>
      <c r="Q1381" s="15"/>
      <c r="R1381" s="15"/>
      <c r="S1381" s="15"/>
      <c r="T1381" s="15"/>
      <c r="U1381" s="15"/>
      <c r="V1381" s="15"/>
      <c r="W1381" s="15"/>
      <c r="X1381" s="15"/>
      <c r="Y1381" s="15"/>
      <c r="Z1381" s="15"/>
    </row>
    <row r="1382" spans="2:26" ht="14" customHeight="1" x14ac:dyDescent="0.25">
      <c r="B1382" s="15" t="s">
        <v>646</v>
      </c>
      <c r="D1382" s="48"/>
      <c r="E1382" s="16"/>
      <c r="F1382" s="16"/>
      <c r="G1382" s="16"/>
      <c r="J1382" s="15" t="s">
        <v>647</v>
      </c>
      <c r="L1382" s="48"/>
      <c r="M1382" s="16"/>
      <c r="O1382" s="234"/>
      <c r="P1382" s="15"/>
      <c r="Q1382" s="15"/>
      <c r="R1382" s="15"/>
      <c r="S1382" s="15"/>
      <c r="T1382" s="15"/>
      <c r="U1382" s="15"/>
      <c r="V1382" s="15"/>
      <c r="W1382" s="15"/>
      <c r="X1382" s="15"/>
      <c r="Y1382" s="15"/>
      <c r="Z1382" s="15"/>
    </row>
    <row r="1383" spans="2:26" ht="14" customHeight="1" x14ac:dyDescent="0.25">
      <c r="B1383" s="83" t="s">
        <v>582</v>
      </c>
      <c r="C1383" s="85" t="s">
        <v>335</v>
      </c>
      <c r="D1383" s="87" t="s">
        <v>583</v>
      </c>
      <c r="E1383" s="107" t="s">
        <v>337</v>
      </c>
      <c r="F1383" s="107"/>
      <c r="G1383" s="107"/>
      <c r="H1383" s="108" t="s">
        <v>584</v>
      </c>
      <c r="I1383" s="59"/>
      <c r="J1383" s="83" t="s">
        <v>582</v>
      </c>
      <c r="K1383" s="85" t="s">
        <v>335</v>
      </c>
      <c r="L1383" s="87" t="s">
        <v>583</v>
      </c>
      <c r="M1383" s="107" t="s">
        <v>337</v>
      </c>
      <c r="N1383" s="108" t="s">
        <v>587</v>
      </c>
      <c r="O1383" s="234"/>
      <c r="P1383" s="15"/>
      <c r="Q1383" s="15"/>
      <c r="R1383" s="15"/>
      <c r="S1383" s="15"/>
      <c r="T1383" s="15"/>
      <c r="U1383" s="15"/>
      <c r="V1383" s="15"/>
      <c r="W1383" s="15"/>
      <c r="X1383" s="15"/>
      <c r="Y1383" s="15"/>
      <c r="Z1383" s="15"/>
    </row>
    <row r="1384" spans="2:26" ht="14" customHeight="1" x14ac:dyDescent="0.25">
      <c r="B1384" s="78">
        <v>1</v>
      </c>
      <c r="C1384" s="9" t="s">
        <v>68</v>
      </c>
      <c r="D1384" s="112">
        <v>1.76</v>
      </c>
      <c r="E1384" s="45">
        <f t="shared" ref="E1384:E1393" si="89">D1384/H1384</f>
        <v>0.49061968611490536</v>
      </c>
      <c r="F1384" s="45"/>
      <c r="G1384" s="45"/>
      <c r="H1384" s="104">
        <v>3.5872999999999999</v>
      </c>
      <c r="I1384" s="59"/>
      <c r="J1384" s="78">
        <v>1</v>
      </c>
      <c r="K1384" s="9" t="s">
        <v>68</v>
      </c>
      <c r="L1384" s="112">
        <v>4.5599999999999996</v>
      </c>
      <c r="M1384" s="45">
        <f t="shared" ref="M1384:M1393" si="90">L1384/N1384</f>
        <v>0.49179797456886787</v>
      </c>
      <c r="N1384" s="104">
        <v>9.2721</v>
      </c>
      <c r="O1384" s="234"/>
      <c r="P1384" s="15"/>
      <c r="Q1384" s="15"/>
      <c r="R1384" s="15"/>
      <c r="S1384" s="15"/>
      <c r="T1384" s="15"/>
      <c r="U1384" s="15"/>
      <c r="V1384" s="15"/>
      <c r="W1384" s="15"/>
      <c r="X1384" s="15"/>
      <c r="Y1384" s="15"/>
      <c r="Z1384" s="15"/>
    </row>
    <row r="1385" spans="2:26" ht="14" customHeight="1" x14ac:dyDescent="0.25">
      <c r="B1385" s="78">
        <v>2</v>
      </c>
      <c r="C1385" s="9" t="s">
        <v>69</v>
      </c>
      <c r="D1385" s="112">
        <v>0.53</v>
      </c>
      <c r="E1385" s="45">
        <f t="shared" si="89"/>
        <v>0.14774342820505673</v>
      </c>
      <c r="F1385" s="45"/>
      <c r="G1385" s="45"/>
      <c r="H1385" s="104">
        <v>3.5872999999999999</v>
      </c>
      <c r="I1385" s="59"/>
      <c r="J1385" s="78">
        <v>2</v>
      </c>
      <c r="K1385" s="9" t="s">
        <v>69</v>
      </c>
      <c r="L1385" s="112">
        <v>1.52</v>
      </c>
      <c r="M1385" s="45">
        <f t="shared" si="90"/>
        <v>0.16393265818962263</v>
      </c>
      <c r="N1385" s="104">
        <v>9.2721</v>
      </c>
      <c r="O1385" s="234"/>
      <c r="P1385" s="15"/>
      <c r="Q1385" s="15"/>
      <c r="R1385" s="15"/>
      <c r="S1385" s="15"/>
      <c r="T1385" s="15"/>
      <c r="U1385" s="15"/>
      <c r="V1385" s="15"/>
      <c r="W1385" s="15"/>
      <c r="X1385" s="15"/>
      <c r="Y1385" s="15"/>
      <c r="Z1385" s="15"/>
    </row>
    <row r="1386" spans="2:26" ht="14" customHeight="1" x14ac:dyDescent="0.25">
      <c r="B1386" s="78">
        <v>3</v>
      </c>
      <c r="C1386" s="9" t="s">
        <v>72</v>
      </c>
      <c r="D1386" s="112">
        <v>0.31</v>
      </c>
      <c r="E1386" s="45">
        <f t="shared" si="89"/>
        <v>8.6415967440693561E-2</v>
      </c>
      <c r="F1386" s="45"/>
      <c r="G1386" s="45"/>
      <c r="H1386" s="104">
        <v>3.5872999999999999</v>
      </c>
      <c r="I1386" s="59"/>
      <c r="J1386" s="78">
        <v>3</v>
      </c>
      <c r="K1386" s="9" t="s">
        <v>72</v>
      </c>
      <c r="L1386" s="112">
        <v>0.76</v>
      </c>
      <c r="M1386" s="45">
        <f t="shared" si="90"/>
        <v>8.1966329094811316E-2</v>
      </c>
      <c r="N1386" s="104">
        <v>9.2721</v>
      </c>
      <c r="O1386" s="234"/>
      <c r="P1386" s="15"/>
      <c r="Q1386" s="15"/>
      <c r="R1386" s="15"/>
      <c r="S1386" s="15"/>
      <c r="T1386" s="15"/>
      <c r="U1386" s="15"/>
      <c r="V1386" s="15"/>
      <c r="W1386" s="15"/>
      <c r="X1386" s="15"/>
      <c r="Y1386" s="15"/>
      <c r="Z1386" s="15"/>
    </row>
    <row r="1387" spans="2:26" ht="14" customHeight="1" x14ac:dyDescent="0.25">
      <c r="B1387" s="78">
        <v>4</v>
      </c>
      <c r="C1387" s="9" t="s">
        <v>601</v>
      </c>
      <c r="D1387" s="112">
        <v>0.28999999999999998</v>
      </c>
      <c r="E1387" s="45">
        <f t="shared" si="89"/>
        <v>8.084074373484236E-2</v>
      </c>
      <c r="F1387" s="45"/>
      <c r="G1387" s="45"/>
      <c r="H1387" s="104">
        <v>3.5872999999999999</v>
      </c>
      <c r="I1387" s="59"/>
      <c r="J1387" s="78">
        <v>4</v>
      </c>
      <c r="K1387" s="9" t="s">
        <v>601</v>
      </c>
      <c r="L1387" s="112">
        <v>0.72</v>
      </c>
      <c r="M1387" s="45">
        <f t="shared" si="90"/>
        <v>7.7652311774031771E-2</v>
      </c>
      <c r="N1387" s="104">
        <v>9.2721</v>
      </c>
      <c r="O1387" s="234"/>
      <c r="P1387" s="15"/>
      <c r="Q1387" s="15"/>
      <c r="R1387" s="15"/>
      <c r="S1387" s="15"/>
      <c r="T1387" s="15"/>
      <c r="U1387" s="15"/>
      <c r="V1387" s="15"/>
      <c r="W1387" s="15"/>
      <c r="X1387" s="15"/>
      <c r="Y1387" s="15"/>
      <c r="Z1387" s="15"/>
    </row>
    <row r="1388" spans="2:26" ht="14" customHeight="1" x14ac:dyDescent="0.25">
      <c r="B1388" s="78">
        <v>5</v>
      </c>
      <c r="C1388" s="9" t="s">
        <v>595</v>
      </c>
      <c r="D1388" s="112">
        <v>0.14000000000000001</v>
      </c>
      <c r="E1388" s="45">
        <f t="shared" si="89"/>
        <v>3.9026565940958387E-2</v>
      </c>
      <c r="F1388" s="45"/>
      <c r="G1388" s="45"/>
      <c r="H1388" s="104">
        <v>3.5872999999999999</v>
      </c>
      <c r="I1388" s="59"/>
      <c r="J1388" s="78">
        <v>5</v>
      </c>
      <c r="K1388" s="9" t="s">
        <v>70</v>
      </c>
      <c r="L1388" s="112">
        <v>0.34</v>
      </c>
      <c r="M1388" s="45">
        <f t="shared" si="90"/>
        <v>3.666914722662612E-2</v>
      </c>
      <c r="N1388" s="104">
        <v>9.2721</v>
      </c>
      <c r="O1388" s="234"/>
      <c r="P1388" s="15"/>
      <c r="Q1388" s="15"/>
      <c r="R1388" s="15"/>
      <c r="S1388" s="15"/>
      <c r="T1388" s="15"/>
      <c r="U1388" s="15"/>
      <c r="V1388" s="15"/>
      <c r="W1388" s="15"/>
      <c r="X1388" s="15"/>
      <c r="Y1388" s="15"/>
      <c r="Z1388" s="15"/>
    </row>
    <row r="1389" spans="2:26" ht="14" customHeight="1" x14ac:dyDescent="0.25">
      <c r="B1389" s="78">
        <v>6</v>
      </c>
      <c r="C1389" s="9" t="s">
        <v>641</v>
      </c>
      <c r="D1389" s="112">
        <v>0.13</v>
      </c>
      <c r="E1389" s="45">
        <f t="shared" si="89"/>
        <v>3.6238954088032786E-2</v>
      </c>
      <c r="F1389" s="45"/>
      <c r="G1389" s="45"/>
      <c r="H1389" s="104">
        <v>3.5872999999999999</v>
      </c>
      <c r="I1389" s="59"/>
      <c r="J1389" s="78">
        <v>6</v>
      </c>
      <c r="K1389" s="9" t="s">
        <v>595</v>
      </c>
      <c r="L1389" s="112">
        <v>0.27</v>
      </c>
      <c r="M1389" s="45">
        <f t="shared" si="90"/>
        <v>2.9119616915261916E-2</v>
      </c>
      <c r="N1389" s="104">
        <v>9.2721</v>
      </c>
      <c r="O1389" s="234"/>
      <c r="P1389" s="15"/>
      <c r="Q1389" s="15"/>
      <c r="R1389" s="15"/>
      <c r="S1389" s="15"/>
      <c r="T1389" s="15"/>
      <c r="U1389" s="15"/>
      <c r="V1389" s="15"/>
      <c r="W1389" s="15"/>
      <c r="X1389" s="15"/>
      <c r="Y1389" s="15"/>
      <c r="Z1389" s="15"/>
    </row>
    <row r="1390" spans="2:26" ht="14" customHeight="1" x14ac:dyDescent="0.25">
      <c r="B1390" s="78">
        <v>7</v>
      </c>
      <c r="C1390" s="9" t="s">
        <v>70</v>
      </c>
      <c r="D1390" s="112">
        <v>0.09</v>
      </c>
      <c r="E1390" s="45">
        <f t="shared" si="89"/>
        <v>2.5088506676330388E-2</v>
      </c>
      <c r="F1390" s="45"/>
      <c r="G1390" s="45"/>
      <c r="H1390" s="104">
        <v>3.5872999999999999</v>
      </c>
      <c r="I1390" s="59"/>
      <c r="J1390" s="78">
        <v>7</v>
      </c>
      <c r="K1390" s="9" t="s">
        <v>73</v>
      </c>
      <c r="L1390" s="112">
        <v>0.18</v>
      </c>
      <c r="M1390" s="45">
        <f t="shared" si="90"/>
        <v>1.9413077943507943E-2</v>
      </c>
      <c r="N1390" s="104">
        <v>9.2721</v>
      </c>
      <c r="O1390" s="234"/>
      <c r="P1390" s="15"/>
      <c r="Q1390" s="15"/>
      <c r="R1390" s="15"/>
      <c r="S1390" s="15"/>
      <c r="T1390" s="15"/>
      <c r="U1390" s="15"/>
      <c r="V1390" s="15"/>
      <c r="W1390" s="15"/>
      <c r="X1390" s="15"/>
      <c r="Y1390" s="15"/>
      <c r="Z1390" s="15"/>
    </row>
    <row r="1391" spans="2:26" ht="14" customHeight="1" x14ac:dyDescent="0.25">
      <c r="B1391" s="78">
        <v>8</v>
      </c>
      <c r="C1391" s="9" t="s">
        <v>426</v>
      </c>
      <c r="D1391" s="112">
        <v>7.0000000000000007E-2</v>
      </c>
      <c r="E1391" s="45">
        <f t="shared" si="89"/>
        <v>1.9513282970479193E-2</v>
      </c>
      <c r="F1391" s="45"/>
      <c r="G1391" s="45"/>
      <c r="H1391" s="104">
        <v>3.5872999999999999</v>
      </c>
      <c r="I1391" s="59"/>
      <c r="J1391" s="78">
        <v>8</v>
      </c>
      <c r="K1391" s="9" t="s">
        <v>606</v>
      </c>
      <c r="L1391" s="112">
        <v>0.16</v>
      </c>
      <c r="M1391" s="45">
        <f t="shared" si="90"/>
        <v>1.7256069283118174E-2</v>
      </c>
      <c r="N1391" s="104">
        <v>9.2721</v>
      </c>
      <c r="P1391" s="15"/>
      <c r="Q1391" s="15"/>
      <c r="R1391" s="15"/>
      <c r="S1391" s="15"/>
      <c r="T1391" s="15"/>
      <c r="U1391" s="15"/>
      <c r="V1391" s="15"/>
      <c r="W1391" s="15"/>
      <c r="X1391" s="15"/>
      <c r="Y1391" s="15"/>
      <c r="Z1391" s="15"/>
    </row>
    <row r="1392" spans="2:26" ht="14" customHeight="1" x14ac:dyDescent="0.25">
      <c r="B1392" s="78">
        <v>9</v>
      </c>
      <c r="C1392" s="9" t="s">
        <v>73</v>
      </c>
      <c r="D1392" s="112">
        <v>0.05</v>
      </c>
      <c r="E1392" s="45">
        <f t="shared" si="89"/>
        <v>1.3938059264627994E-2</v>
      </c>
      <c r="F1392" s="45"/>
      <c r="G1392" s="45"/>
      <c r="H1392" s="104">
        <v>3.5872999999999999</v>
      </c>
      <c r="I1392" s="59"/>
      <c r="J1392" s="78">
        <v>9</v>
      </c>
      <c r="K1392" s="9" t="s">
        <v>641</v>
      </c>
      <c r="L1392" s="112">
        <v>0.14000000000000001</v>
      </c>
      <c r="M1392" s="45">
        <f t="shared" si="90"/>
        <v>1.5099060622728401E-2</v>
      </c>
      <c r="N1392" s="104">
        <v>9.2721</v>
      </c>
      <c r="P1392" s="15"/>
      <c r="Q1392" s="15"/>
      <c r="R1392" s="15"/>
      <c r="S1392" s="15"/>
      <c r="T1392" s="15"/>
      <c r="U1392" s="15"/>
      <c r="V1392" s="15"/>
      <c r="W1392" s="15"/>
      <c r="X1392" s="15"/>
      <c r="Y1392" s="15"/>
      <c r="Z1392" s="15"/>
    </row>
    <row r="1393" spans="2:26" ht="14" customHeight="1" x14ac:dyDescent="0.25">
      <c r="B1393" s="80">
        <v>10</v>
      </c>
      <c r="C1393" s="110" t="s">
        <v>619</v>
      </c>
      <c r="D1393" s="114">
        <v>0.05</v>
      </c>
      <c r="E1393" s="116">
        <f t="shared" si="89"/>
        <v>1.3927576601671311E-2</v>
      </c>
      <c r="F1393" s="116"/>
      <c r="G1393" s="116"/>
      <c r="H1393" s="105">
        <v>3.59</v>
      </c>
      <c r="I1393" s="59"/>
      <c r="J1393" s="80">
        <v>10</v>
      </c>
      <c r="K1393" s="110" t="s">
        <v>590</v>
      </c>
      <c r="L1393" s="114">
        <v>0.13</v>
      </c>
      <c r="M1393" s="116">
        <f t="shared" si="90"/>
        <v>1.4023732470334413E-2</v>
      </c>
      <c r="N1393" s="105">
        <v>9.27</v>
      </c>
      <c r="P1393" s="15"/>
      <c r="Q1393" s="15"/>
      <c r="R1393" s="15"/>
      <c r="S1393" s="15"/>
      <c r="T1393" s="15"/>
      <c r="U1393" s="15"/>
      <c r="V1393" s="15"/>
      <c r="W1393" s="15"/>
      <c r="X1393" s="15"/>
      <c r="Y1393" s="15"/>
      <c r="Z1393" s="15"/>
    </row>
    <row r="1394" spans="2:26" ht="14" customHeight="1" x14ac:dyDescent="0.25">
      <c r="D1394" s="48"/>
      <c r="E1394" s="16"/>
      <c r="F1394" s="16"/>
      <c r="G1394" s="16"/>
      <c r="L1394" s="48"/>
      <c r="M1394" s="16"/>
      <c r="P1394" s="15"/>
      <c r="Q1394" s="15"/>
      <c r="R1394" s="15"/>
      <c r="S1394" s="15"/>
      <c r="T1394" s="15"/>
      <c r="U1394" s="15"/>
      <c r="V1394" s="15"/>
      <c r="W1394" s="15"/>
      <c r="X1394" s="15"/>
      <c r="Y1394" s="15"/>
      <c r="Z1394" s="15"/>
    </row>
    <row r="1395" spans="2:26" ht="14" customHeight="1" x14ac:dyDescent="0.25">
      <c r="D1395" s="48"/>
      <c r="E1395" s="16"/>
      <c r="F1395" s="16"/>
      <c r="G1395" s="16"/>
      <c r="L1395" s="48"/>
      <c r="M1395" s="16"/>
      <c r="P1395" s="15"/>
      <c r="Q1395" s="15"/>
      <c r="R1395" s="15"/>
      <c r="S1395" s="15"/>
      <c r="T1395" s="15"/>
      <c r="U1395" s="15"/>
      <c r="V1395" s="15"/>
      <c r="W1395" s="15"/>
      <c r="X1395" s="15"/>
      <c r="Y1395" s="15"/>
      <c r="Z1395" s="15"/>
    </row>
    <row r="1396" spans="2:26" ht="14" customHeight="1" x14ac:dyDescent="0.25">
      <c r="B1396" s="15" t="s">
        <v>648</v>
      </c>
      <c r="D1396" s="48"/>
      <c r="E1396" s="16"/>
      <c r="F1396" s="16"/>
      <c r="G1396" s="16"/>
      <c r="J1396" s="15" t="s">
        <v>649</v>
      </c>
      <c r="L1396" s="48"/>
      <c r="M1396" s="16"/>
      <c r="P1396" s="15"/>
      <c r="Q1396" s="15"/>
      <c r="R1396" s="15"/>
      <c r="S1396" s="15"/>
      <c r="T1396" s="15"/>
      <c r="U1396" s="15"/>
      <c r="V1396" s="15"/>
      <c r="W1396" s="15"/>
      <c r="X1396" s="15"/>
      <c r="Y1396" s="15"/>
      <c r="Z1396" s="15"/>
    </row>
    <row r="1397" spans="2:26" ht="14" customHeight="1" x14ac:dyDescent="0.25">
      <c r="B1397" s="83" t="s">
        <v>582</v>
      </c>
      <c r="C1397" s="85" t="s">
        <v>335</v>
      </c>
      <c r="D1397" s="87" t="s">
        <v>583</v>
      </c>
      <c r="E1397" s="107" t="s">
        <v>337</v>
      </c>
      <c r="F1397" s="107"/>
      <c r="G1397" s="107"/>
      <c r="H1397" s="108" t="s">
        <v>584</v>
      </c>
      <c r="I1397" s="59"/>
      <c r="J1397" s="83" t="s">
        <v>582</v>
      </c>
      <c r="K1397" s="85" t="s">
        <v>335</v>
      </c>
      <c r="L1397" s="87" t="s">
        <v>583</v>
      </c>
      <c r="M1397" s="107" t="s">
        <v>337</v>
      </c>
      <c r="N1397" s="108" t="s">
        <v>587</v>
      </c>
      <c r="P1397" s="15"/>
      <c r="Q1397" s="15"/>
      <c r="R1397" s="15"/>
      <c r="S1397" s="15"/>
      <c r="T1397" s="15"/>
      <c r="U1397" s="15"/>
      <c r="V1397" s="15"/>
      <c r="W1397" s="15"/>
      <c r="X1397" s="15"/>
      <c r="Y1397" s="15"/>
      <c r="Z1397" s="15"/>
    </row>
    <row r="1398" spans="2:26" ht="14" customHeight="1" x14ac:dyDescent="0.25">
      <c r="B1398" s="78">
        <v>1</v>
      </c>
      <c r="C1398" s="9" t="s">
        <v>68</v>
      </c>
      <c r="D1398" s="112">
        <v>1.2</v>
      </c>
      <c r="E1398" s="45">
        <f t="shared" ref="E1398:E1407" si="91">D1398/H1398</f>
        <v>0.43319735749611932</v>
      </c>
      <c r="F1398" s="45"/>
      <c r="G1398" s="45"/>
      <c r="H1398" s="104">
        <v>2.7700999999999998</v>
      </c>
      <c r="I1398" s="59"/>
      <c r="J1398" s="78">
        <v>1</v>
      </c>
      <c r="K1398" s="9" t="s">
        <v>68</v>
      </c>
      <c r="L1398" s="112">
        <v>2.8</v>
      </c>
      <c r="M1398" s="45">
        <f t="shared" ref="M1398:M1407" si="92">L1398/N1398</f>
        <v>0.4925415142133408</v>
      </c>
      <c r="N1398" s="104">
        <v>5.6848000000000001</v>
      </c>
      <c r="P1398" s="15"/>
      <c r="Q1398" s="15"/>
      <c r="R1398" s="15"/>
      <c r="S1398" s="15"/>
      <c r="T1398" s="15"/>
      <c r="U1398" s="15"/>
      <c r="V1398" s="15"/>
      <c r="W1398" s="15"/>
      <c r="X1398" s="15"/>
      <c r="Y1398" s="15"/>
      <c r="Z1398" s="15"/>
    </row>
    <row r="1399" spans="2:26" ht="14" customHeight="1" x14ac:dyDescent="0.25">
      <c r="B1399" s="78">
        <v>2</v>
      </c>
      <c r="C1399" s="9" t="s">
        <v>69</v>
      </c>
      <c r="D1399" s="112">
        <v>0.65</v>
      </c>
      <c r="E1399" s="45">
        <f t="shared" si="91"/>
        <v>0.23464856864373129</v>
      </c>
      <c r="F1399" s="45"/>
      <c r="G1399" s="45"/>
      <c r="H1399" s="104">
        <v>2.7700999999999998</v>
      </c>
      <c r="I1399" s="59"/>
      <c r="J1399" s="78">
        <v>2</v>
      </c>
      <c r="K1399" s="9" t="s">
        <v>69</v>
      </c>
      <c r="L1399" s="112">
        <v>0.99</v>
      </c>
      <c r="M1399" s="45">
        <f t="shared" si="92"/>
        <v>0.1741486068111455</v>
      </c>
      <c r="N1399" s="104">
        <v>5.6848000000000001</v>
      </c>
      <c r="P1399" s="15"/>
      <c r="Q1399" s="15"/>
      <c r="R1399" s="15"/>
      <c r="S1399" s="15"/>
      <c r="T1399" s="15"/>
      <c r="U1399" s="15"/>
      <c r="V1399" s="15"/>
      <c r="W1399" s="15"/>
      <c r="X1399" s="15"/>
      <c r="Y1399" s="15"/>
      <c r="Z1399" s="15"/>
    </row>
    <row r="1400" spans="2:26" ht="14" customHeight="1" x14ac:dyDescent="0.25">
      <c r="B1400" s="78">
        <v>3</v>
      </c>
      <c r="C1400" s="9" t="s">
        <v>72</v>
      </c>
      <c r="D1400" s="112">
        <v>0.27</v>
      </c>
      <c r="E1400" s="45">
        <f t="shared" si="91"/>
        <v>9.7469405436626855E-2</v>
      </c>
      <c r="F1400" s="45"/>
      <c r="G1400" s="45"/>
      <c r="H1400" s="104">
        <v>2.7700999999999998</v>
      </c>
      <c r="I1400" s="59"/>
      <c r="J1400" s="78">
        <v>3</v>
      </c>
      <c r="K1400" s="9" t="s">
        <v>72</v>
      </c>
      <c r="L1400" s="112">
        <v>0.45</v>
      </c>
      <c r="M1400" s="45">
        <f t="shared" si="92"/>
        <v>7.9158457641429772E-2</v>
      </c>
      <c r="N1400" s="104">
        <v>5.6848000000000001</v>
      </c>
      <c r="P1400" s="15"/>
      <c r="Q1400" s="15"/>
      <c r="R1400" s="15"/>
      <c r="S1400" s="15"/>
      <c r="T1400" s="15"/>
      <c r="U1400" s="15"/>
      <c r="V1400" s="15"/>
      <c r="W1400" s="15"/>
      <c r="X1400" s="15"/>
      <c r="Y1400" s="15"/>
      <c r="Z1400" s="15"/>
    </row>
    <row r="1401" spans="2:26" ht="14" customHeight="1" x14ac:dyDescent="0.25">
      <c r="B1401" s="78">
        <v>4</v>
      </c>
      <c r="C1401" s="9" t="s">
        <v>601</v>
      </c>
      <c r="D1401" s="112">
        <v>0.26</v>
      </c>
      <c r="E1401" s="45">
        <f t="shared" si="91"/>
        <v>9.3859427457492525E-2</v>
      </c>
      <c r="F1401" s="45"/>
      <c r="G1401" s="45"/>
      <c r="H1401" s="104">
        <v>2.7700999999999998</v>
      </c>
      <c r="I1401" s="59"/>
      <c r="J1401" s="78">
        <v>4</v>
      </c>
      <c r="K1401" s="9" t="s">
        <v>601</v>
      </c>
      <c r="L1401" s="112">
        <v>0.43</v>
      </c>
      <c r="M1401" s="45">
        <f t="shared" si="92"/>
        <v>7.5640303968477346E-2</v>
      </c>
      <c r="N1401" s="104">
        <v>5.6848000000000001</v>
      </c>
      <c r="P1401" s="15"/>
      <c r="Q1401" s="15"/>
      <c r="R1401" s="15"/>
      <c r="S1401" s="15"/>
      <c r="T1401" s="15"/>
      <c r="U1401" s="15"/>
      <c r="V1401" s="15"/>
      <c r="W1401" s="15"/>
      <c r="X1401" s="15"/>
      <c r="Y1401" s="15"/>
      <c r="Z1401" s="15"/>
    </row>
    <row r="1402" spans="2:26" ht="14" customHeight="1" x14ac:dyDescent="0.25">
      <c r="B1402" s="78">
        <v>5</v>
      </c>
      <c r="C1402" s="9" t="s">
        <v>595</v>
      </c>
      <c r="D1402" s="112">
        <v>7.0000000000000007E-2</v>
      </c>
      <c r="E1402" s="45">
        <f t="shared" si="91"/>
        <v>2.5269845853940296E-2</v>
      </c>
      <c r="F1402" s="45"/>
      <c r="G1402" s="45"/>
      <c r="H1402" s="104">
        <v>2.7700999999999998</v>
      </c>
      <c r="I1402" s="59"/>
      <c r="J1402" s="78">
        <v>5</v>
      </c>
      <c r="K1402" s="9" t="s">
        <v>70</v>
      </c>
      <c r="L1402" s="112">
        <v>0.25</v>
      </c>
      <c r="M1402" s="45">
        <f t="shared" si="92"/>
        <v>4.3976920911905429E-2</v>
      </c>
      <c r="N1402" s="104">
        <v>5.6848000000000001</v>
      </c>
      <c r="P1402" s="15"/>
      <c r="Q1402" s="15"/>
      <c r="R1402" s="15"/>
      <c r="S1402" s="15"/>
      <c r="T1402" s="15"/>
      <c r="U1402" s="15"/>
      <c r="V1402" s="15"/>
      <c r="W1402" s="15"/>
      <c r="X1402" s="15"/>
      <c r="Y1402" s="15"/>
      <c r="Z1402" s="15"/>
    </row>
    <row r="1403" spans="2:26" ht="14" customHeight="1" x14ac:dyDescent="0.25">
      <c r="B1403" s="78">
        <v>6</v>
      </c>
      <c r="C1403" s="9" t="s">
        <v>70</v>
      </c>
      <c r="D1403" s="112">
        <v>0.06</v>
      </c>
      <c r="E1403" s="45">
        <f t="shared" si="91"/>
        <v>2.1659867874805963E-2</v>
      </c>
      <c r="F1403" s="45"/>
      <c r="G1403" s="45"/>
      <c r="H1403" s="104">
        <v>2.7700999999999998</v>
      </c>
      <c r="I1403" s="59"/>
      <c r="J1403" s="78">
        <v>6</v>
      </c>
      <c r="K1403" s="9" t="s">
        <v>73</v>
      </c>
      <c r="L1403" s="112">
        <v>0.13</v>
      </c>
      <c r="M1403" s="45">
        <f t="shared" si="92"/>
        <v>2.2867998874190824E-2</v>
      </c>
      <c r="N1403" s="104">
        <v>5.6848000000000001</v>
      </c>
      <c r="P1403" s="15"/>
      <c r="Q1403" s="15"/>
      <c r="R1403" s="15"/>
      <c r="S1403" s="15"/>
      <c r="T1403" s="15"/>
      <c r="U1403" s="15"/>
      <c r="V1403" s="15"/>
      <c r="W1403" s="15"/>
      <c r="X1403" s="15"/>
      <c r="Y1403" s="15"/>
      <c r="Z1403" s="15"/>
    </row>
    <row r="1404" spans="2:26" ht="14" customHeight="1" x14ac:dyDescent="0.25">
      <c r="B1404" s="78">
        <v>7</v>
      </c>
      <c r="C1404" s="9" t="s">
        <v>73</v>
      </c>
      <c r="D1404" s="112">
        <v>0.05</v>
      </c>
      <c r="E1404" s="45">
        <f t="shared" si="91"/>
        <v>1.8049889895671641E-2</v>
      </c>
      <c r="F1404" s="45"/>
      <c r="G1404" s="45"/>
      <c r="H1404" s="104">
        <v>2.7700999999999998</v>
      </c>
      <c r="I1404" s="59"/>
      <c r="J1404" s="78">
        <v>7</v>
      </c>
      <c r="K1404" s="9" t="s">
        <v>595</v>
      </c>
      <c r="L1404" s="112">
        <v>0.13</v>
      </c>
      <c r="M1404" s="45">
        <f t="shared" si="92"/>
        <v>2.2867998874190824E-2</v>
      </c>
      <c r="N1404" s="104">
        <v>5.6848000000000001</v>
      </c>
      <c r="P1404" s="15"/>
      <c r="Q1404" s="15"/>
      <c r="R1404" s="15"/>
      <c r="S1404" s="15"/>
      <c r="T1404" s="15"/>
      <c r="U1404" s="15"/>
      <c r="V1404" s="15"/>
      <c r="W1404" s="15"/>
      <c r="X1404" s="15"/>
      <c r="Y1404" s="15"/>
      <c r="Z1404" s="15"/>
    </row>
    <row r="1405" spans="2:26" ht="14" customHeight="1" x14ac:dyDescent="0.25">
      <c r="B1405" s="78">
        <v>8</v>
      </c>
      <c r="C1405" s="9" t="s">
        <v>554</v>
      </c>
      <c r="D1405" s="112">
        <v>0.04</v>
      </c>
      <c r="E1405" s="45">
        <f t="shared" si="91"/>
        <v>1.4439911916537311E-2</v>
      </c>
      <c r="F1405" s="45"/>
      <c r="G1405" s="45"/>
      <c r="H1405" s="104">
        <v>2.7700999999999998</v>
      </c>
      <c r="I1405" s="59"/>
      <c r="J1405" s="78">
        <v>8</v>
      </c>
      <c r="K1405" s="9" t="s">
        <v>554</v>
      </c>
      <c r="L1405" s="112">
        <v>0.1</v>
      </c>
      <c r="M1405" s="45">
        <f t="shared" si="92"/>
        <v>1.7590768364762175E-2</v>
      </c>
      <c r="N1405" s="104">
        <v>5.6848000000000001</v>
      </c>
      <c r="P1405" s="15"/>
      <c r="Q1405" s="15"/>
      <c r="R1405" s="15"/>
      <c r="S1405" s="15"/>
      <c r="T1405" s="15"/>
      <c r="U1405" s="15"/>
      <c r="V1405" s="15"/>
      <c r="W1405" s="15"/>
      <c r="X1405" s="15"/>
      <c r="Y1405" s="15"/>
      <c r="Z1405" s="15"/>
    </row>
    <row r="1406" spans="2:26" ht="14" customHeight="1" x14ac:dyDescent="0.25">
      <c r="B1406" s="78">
        <v>9</v>
      </c>
      <c r="C1406" s="9" t="s">
        <v>509</v>
      </c>
      <c r="D1406" s="112">
        <v>0.03</v>
      </c>
      <c r="E1406" s="45">
        <f t="shared" si="91"/>
        <v>1.0829933937402982E-2</v>
      </c>
      <c r="F1406" s="45"/>
      <c r="G1406" s="45"/>
      <c r="H1406" s="104">
        <v>2.7700999999999998</v>
      </c>
      <c r="I1406" s="59"/>
      <c r="J1406" s="78">
        <v>9</v>
      </c>
      <c r="K1406" s="9" t="s">
        <v>606</v>
      </c>
      <c r="L1406" s="112">
        <v>0.09</v>
      </c>
      <c r="M1406" s="45">
        <f t="shared" si="92"/>
        <v>1.5831691528285955E-2</v>
      </c>
      <c r="N1406" s="104">
        <v>5.6848000000000001</v>
      </c>
      <c r="P1406" s="15"/>
      <c r="Q1406" s="15"/>
      <c r="R1406" s="15"/>
      <c r="S1406" s="15"/>
      <c r="T1406" s="15"/>
      <c r="U1406" s="15"/>
      <c r="V1406" s="15"/>
      <c r="W1406" s="15"/>
      <c r="X1406" s="15"/>
      <c r="Y1406" s="15"/>
      <c r="Z1406" s="15"/>
    </row>
    <row r="1407" spans="2:26" ht="14" customHeight="1" x14ac:dyDescent="0.25">
      <c r="B1407" s="80">
        <v>10</v>
      </c>
      <c r="C1407" s="110" t="s">
        <v>606</v>
      </c>
      <c r="D1407" s="114">
        <v>0.02</v>
      </c>
      <c r="E1407" s="116">
        <f t="shared" si="91"/>
        <v>7.2202166064981952E-3</v>
      </c>
      <c r="F1407" s="116"/>
      <c r="G1407" s="116"/>
      <c r="H1407" s="105">
        <v>2.77</v>
      </c>
      <c r="I1407" s="59"/>
      <c r="J1407" s="80">
        <v>10</v>
      </c>
      <c r="K1407" s="110" t="s">
        <v>357</v>
      </c>
      <c r="L1407" s="114">
        <v>0.06</v>
      </c>
      <c r="M1407" s="116">
        <f t="shared" si="92"/>
        <v>1.0563380281690141E-2</v>
      </c>
      <c r="N1407" s="105">
        <v>5.68</v>
      </c>
      <c r="P1407" s="15"/>
      <c r="Q1407" s="15"/>
      <c r="R1407" s="15"/>
      <c r="S1407" s="15"/>
      <c r="T1407" s="15"/>
      <c r="U1407" s="15"/>
      <c r="V1407" s="15"/>
      <c r="W1407" s="15"/>
      <c r="X1407" s="15"/>
      <c r="Y1407" s="15"/>
      <c r="Z1407" s="15"/>
    </row>
    <row r="1408" spans="2:26" ht="14" customHeight="1" x14ac:dyDescent="0.25">
      <c r="D1408" s="48"/>
      <c r="E1408" s="16"/>
      <c r="F1408" s="16"/>
      <c r="G1408" s="16"/>
      <c r="L1408" s="48"/>
      <c r="M1408" s="16"/>
      <c r="P1408" s="15"/>
      <c r="Q1408" s="15"/>
      <c r="R1408" s="15"/>
      <c r="S1408" s="15"/>
      <c r="T1408" s="15"/>
      <c r="U1408" s="15"/>
      <c r="V1408" s="15"/>
      <c r="W1408" s="15"/>
      <c r="X1408" s="15"/>
      <c r="Y1408" s="15"/>
      <c r="Z1408" s="15"/>
    </row>
    <row r="1409" spans="2:26" ht="14" customHeight="1" x14ac:dyDescent="0.25">
      <c r="D1409" s="48"/>
      <c r="E1409" s="16"/>
      <c r="F1409" s="16"/>
      <c r="G1409" s="16"/>
      <c r="L1409" s="48"/>
      <c r="M1409" s="16"/>
      <c r="P1409" s="15"/>
      <c r="Q1409" s="15"/>
      <c r="R1409" s="15"/>
      <c r="S1409" s="15"/>
      <c r="T1409" s="15"/>
      <c r="U1409" s="15"/>
      <c r="V1409" s="15"/>
      <c r="W1409" s="15"/>
      <c r="X1409" s="15"/>
      <c r="Y1409" s="15"/>
      <c r="Z1409" s="15"/>
    </row>
    <row r="1410" spans="2:26" ht="14" customHeight="1" x14ac:dyDescent="0.25">
      <c r="B1410" s="15" t="s">
        <v>650</v>
      </c>
      <c r="D1410" s="48"/>
      <c r="E1410" s="16"/>
      <c r="F1410" s="16"/>
      <c r="G1410" s="16"/>
      <c r="L1410" s="48"/>
      <c r="M1410" s="16"/>
      <c r="P1410" s="15"/>
      <c r="Q1410" s="15"/>
      <c r="R1410" s="15"/>
      <c r="S1410" s="15"/>
      <c r="T1410" s="15"/>
      <c r="U1410" s="15"/>
      <c r="V1410" s="15"/>
      <c r="W1410" s="15"/>
      <c r="X1410" s="15"/>
      <c r="Y1410" s="15"/>
      <c r="Z1410" s="15"/>
    </row>
    <row r="1411" spans="2:26" ht="14" customHeight="1" x14ac:dyDescent="0.25">
      <c r="B1411" s="83" t="s">
        <v>582</v>
      </c>
      <c r="C1411" s="85" t="s">
        <v>335</v>
      </c>
      <c r="D1411" s="87" t="s">
        <v>583</v>
      </c>
      <c r="E1411" s="107" t="s">
        <v>337</v>
      </c>
      <c r="F1411" s="107"/>
      <c r="G1411" s="107"/>
      <c r="H1411" s="108" t="s">
        <v>584</v>
      </c>
      <c r="L1411" s="48"/>
      <c r="M1411" s="16"/>
      <c r="P1411" s="15"/>
      <c r="Q1411" s="15"/>
      <c r="R1411" s="15"/>
      <c r="S1411" s="15"/>
      <c r="T1411" s="15"/>
      <c r="U1411" s="15"/>
      <c r="V1411" s="15"/>
      <c r="W1411" s="15"/>
      <c r="X1411" s="15"/>
      <c r="Y1411" s="15"/>
      <c r="Z1411" s="15"/>
    </row>
    <row r="1412" spans="2:26" ht="14" customHeight="1" x14ac:dyDescent="0.25">
      <c r="B1412" s="78">
        <v>1</v>
      </c>
      <c r="C1412" s="9" t="s">
        <v>68</v>
      </c>
      <c r="D1412" s="112">
        <v>0.26</v>
      </c>
      <c r="E1412" s="45">
        <f t="shared" ref="E1412:E1421" si="93">D1412/H1412</f>
        <v>4.3470991472997829E-2</v>
      </c>
      <c r="F1412" s="45"/>
      <c r="G1412" s="45"/>
      <c r="H1412" s="104">
        <v>5.9809999999999999</v>
      </c>
      <c r="L1412" s="48"/>
      <c r="M1412" s="16"/>
      <c r="P1412" s="15"/>
      <c r="Q1412" s="15"/>
      <c r="R1412" s="15"/>
      <c r="S1412" s="15"/>
      <c r="T1412" s="15"/>
      <c r="U1412" s="15"/>
      <c r="V1412" s="15"/>
      <c r="W1412" s="15"/>
      <c r="X1412" s="15"/>
      <c r="Y1412" s="15"/>
      <c r="Z1412" s="15"/>
    </row>
    <row r="1413" spans="2:26" ht="14" customHeight="1" x14ac:dyDescent="0.25">
      <c r="B1413" s="78">
        <v>2</v>
      </c>
      <c r="C1413" s="9" t="s">
        <v>72</v>
      </c>
      <c r="D1413" s="112">
        <v>0.1</v>
      </c>
      <c r="E1413" s="45">
        <f t="shared" si="93"/>
        <v>1.6719612104999164E-2</v>
      </c>
      <c r="F1413" s="45"/>
      <c r="G1413" s="45"/>
      <c r="H1413" s="104">
        <v>5.9809999999999999</v>
      </c>
      <c r="L1413" s="48"/>
      <c r="M1413" s="16"/>
      <c r="P1413" s="15"/>
      <c r="Q1413" s="15"/>
      <c r="R1413" s="15"/>
      <c r="S1413" s="15"/>
      <c r="T1413" s="15"/>
      <c r="U1413" s="15"/>
      <c r="V1413" s="15"/>
      <c r="W1413" s="15"/>
      <c r="X1413" s="15"/>
      <c r="Y1413" s="15"/>
      <c r="Z1413" s="15"/>
    </row>
    <row r="1414" spans="2:26" ht="14" customHeight="1" x14ac:dyDescent="0.25">
      <c r="B1414" s="78">
        <v>3</v>
      </c>
      <c r="C1414" s="9" t="s">
        <v>601</v>
      </c>
      <c r="D1414" s="112">
        <v>0.1</v>
      </c>
      <c r="E1414" s="45">
        <f t="shared" si="93"/>
        <v>1.6719612104999164E-2</v>
      </c>
      <c r="F1414" s="45"/>
      <c r="G1414" s="45"/>
      <c r="H1414" s="104">
        <v>5.9809999999999999</v>
      </c>
      <c r="L1414" s="48"/>
      <c r="M1414" s="16"/>
      <c r="P1414" s="15"/>
      <c r="Q1414" s="15"/>
      <c r="R1414" s="15"/>
      <c r="S1414" s="15"/>
      <c r="T1414" s="15"/>
      <c r="U1414" s="15"/>
      <c r="V1414" s="15"/>
      <c r="W1414" s="15"/>
      <c r="X1414" s="15"/>
      <c r="Y1414" s="15"/>
      <c r="Z1414" s="15"/>
    </row>
    <row r="1415" spans="2:26" ht="14" customHeight="1" x14ac:dyDescent="0.25">
      <c r="B1415" s="78">
        <v>4</v>
      </c>
      <c r="C1415" s="9" t="s">
        <v>69</v>
      </c>
      <c r="D1415" s="112">
        <v>0.08</v>
      </c>
      <c r="E1415" s="45">
        <f t="shared" si="93"/>
        <v>1.3375689683999333E-2</v>
      </c>
      <c r="F1415" s="45"/>
      <c r="G1415" s="45"/>
      <c r="H1415" s="104">
        <v>5.9809999999999999</v>
      </c>
      <c r="L1415" s="48"/>
      <c r="M1415" s="16"/>
      <c r="P1415" s="15"/>
      <c r="Q1415" s="15"/>
      <c r="R1415" s="15"/>
      <c r="S1415" s="15"/>
      <c r="T1415" s="15"/>
      <c r="U1415" s="15"/>
      <c r="V1415" s="15"/>
      <c r="W1415" s="15"/>
      <c r="X1415" s="15"/>
      <c r="Y1415" s="15"/>
      <c r="Z1415" s="15"/>
    </row>
    <row r="1416" spans="2:26" ht="14" customHeight="1" x14ac:dyDescent="0.25">
      <c r="B1416" s="78">
        <v>5</v>
      </c>
      <c r="C1416" s="9" t="s">
        <v>73</v>
      </c>
      <c r="D1416" s="112">
        <v>0.01</v>
      </c>
      <c r="E1416" s="45">
        <f t="shared" si="93"/>
        <v>1.6719612104999166E-3</v>
      </c>
      <c r="F1416" s="45"/>
      <c r="G1416" s="45"/>
      <c r="H1416" s="104">
        <v>5.9809999999999999</v>
      </c>
      <c r="L1416" s="48"/>
      <c r="M1416" s="16"/>
      <c r="P1416" s="15"/>
      <c r="Q1416" s="15"/>
      <c r="R1416" s="15"/>
      <c r="S1416" s="15"/>
      <c r="T1416" s="15"/>
      <c r="U1416" s="15"/>
      <c r="V1416" s="15"/>
      <c r="W1416" s="15"/>
      <c r="X1416" s="15"/>
      <c r="Y1416" s="15"/>
      <c r="Z1416" s="15"/>
    </row>
    <row r="1417" spans="2:26" ht="14" customHeight="1" x14ac:dyDescent="0.25">
      <c r="B1417" s="78">
        <v>6</v>
      </c>
      <c r="C1417" s="9" t="s">
        <v>70</v>
      </c>
      <c r="D1417" s="112">
        <v>0.01</v>
      </c>
      <c r="E1417" s="45">
        <f t="shared" si="93"/>
        <v>1.6719612104999166E-3</v>
      </c>
      <c r="F1417" s="45"/>
      <c r="G1417" s="45"/>
      <c r="H1417" s="104">
        <v>5.9809999999999999</v>
      </c>
      <c r="L1417" s="48"/>
      <c r="M1417" s="16"/>
      <c r="P1417" s="15"/>
      <c r="Q1417" s="15"/>
      <c r="R1417" s="15"/>
      <c r="S1417" s="15"/>
      <c r="T1417" s="15"/>
      <c r="U1417" s="15"/>
      <c r="V1417" s="15"/>
      <c r="W1417" s="15"/>
      <c r="X1417" s="15"/>
      <c r="Y1417" s="15"/>
      <c r="Z1417" s="15"/>
    </row>
    <row r="1418" spans="2:26" ht="14" customHeight="1" x14ac:dyDescent="0.25">
      <c r="B1418" s="78">
        <v>7</v>
      </c>
      <c r="C1418" s="9" t="s">
        <v>590</v>
      </c>
      <c r="D1418" s="112">
        <v>0.01</v>
      </c>
      <c r="E1418" s="45">
        <f t="shared" si="93"/>
        <v>1.6719612104999166E-3</v>
      </c>
      <c r="F1418" s="45"/>
      <c r="G1418" s="45"/>
      <c r="H1418" s="104">
        <v>5.9809999999999999</v>
      </c>
      <c r="L1418" s="48"/>
      <c r="M1418" s="16"/>
      <c r="P1418" s="15"/>
      <c r="Q1418" s="15"/>
      <c r="R1418" s="15"/>
      <c r="S1418" s="15"/>
      <c r="T1418" s="15"/>
      <c r="U1418" s="15"/>
      <c r="V1418" s="15"/>
      <c r="W1418" s="15"/>
      <c r="X1418" s="15"/>
      <c r="Y1418" s="15"/>
      <c r="Z1418" s="15"/>
    </row>
    <row r="1419" spans="2:26" ht="14" customHeight="1" x14ac:dyDescent="0.25">
      <c r="B1419" s="78">
        <v>8</v>
      </c>
      <c r="C1419" s="9" t="s">
        <v>606</v>
      </c>
      <c r="D1419" s="112">
        <v>0.01</v>
      </c>
      <c r="E1419" s="45">
        <f t="shared" si="93"/>
        <v>1.6719612104999166E-3</v>
      </c>
      <c r="F1419" s="45"/>
      <c r="G1419" s="45"/>
      <c r="H1419" s="104">
        <v>5.9809999999999999</v>
      </c>
      <c r="L1419" s="48"/>
      <c r="M1419" s="16"/>
      <c r="O1419" s="15"/>
      <c r="P1419" s="15"/>
      <c r="Q1419" s="15"/>
      <c r="R1419" s="15"/>
      <c r="S1419" s="15"/>
      <c r="T1419" s="15"/>
      <c r="U1419" s="15"/>
      <c r="V1419" s="15"/>
      <c r="W1419" s="15"/>
      <c r="X1419" s="15"/>
      <c r="Y1419" s="15"/>
      <c r="Z1419" s="15"/>
    </row>
    <row r="1420" spans="2:26" ht="14" customHeight="1" x14ac:dyDescent="0.25">
      <c r="B1420" s="78">
        <v>9</v>
      </c>
      <c r="C1420" s="9" t="s">
        <v>595</v>
      </c>
      <c r="D1420" s="112">
        <v>0</v>
      </c>
      <c r="E1420" s="45">
        <f t="shared" si="93"/>
        <v>0</v>
      </c>
      <c r="F1420" s="45"/>
      <c r="G1420" s="45"/>
      <c r="H1420" s="104">
        <v>5.9809999999999999</v>
      </c>
      <c r="L1420" s="48"/>
      <c r="M1420" s="16"/>
      <c r="O1420" s="15"/>
      <c r="P1420" s="15"/>
      <c r="Q1420" s="15"/>
      <c r="R1420" s="15"/>
      <c r="S1420" s="15"/>
      <c r="T1420" s="15"/>
      <c r="U1420" s="15"/>
      <c r="V1420" s="15"/>
      <c r="W1420" s="15"/>
      <c r="X1420" s="15"/>
      <c r="Y1420" s="15"/>
      <c r="Z1420" s="15"/>
    </row>
    <row r="1421" spans="2:26" ht="14" customHeight="1" x14ac:dyDescent="0.25">
      <c r="B1421" s="80">
        <v>10</v>
      </c>
      <c r="C1421" s="110" t="s">
        <v>485</v>
      </c>
      <c r="D1421" s="114">
        <v>0</v>
      </c>
      <c r="E1421" s="116">
        <f t="shared" si="93"/>
        <v>0</v>
      </c>
      <c r="F1421" s="116"/>
      <c r="G1421" s="116"/>
      <c r="H1421" s="105">
        <v>5.9809999999999999</v>
      </c>
      <c r="L1421" s="48"/>
      <c r="M1421" s="16"/>
      <c r="O1421" s="15"/>
      <c r="P1421" s="15"/>
      <c r="Q1421" s="15"/>
      <c r="R1421" s="15"/>
      <c r="S1421" s="15"/>
      <c r="T1421" s="15"/>
      <c r="U1421" s="15"/>
      <c r="V1421" s="15"/>
      <c r="W1421" s="15"/>
      <c r="X1421" s="15"/>
      <c r="Y1421" s="15"/>
      <c r="Z1421" s="15"/>
    </row>
    <row r="1422" spans="2:26" ht="14" customHeight="1" x14ac:dyDescent="0.25">
      <c r="D1422" s="48"/>
      <c r="E1422" s="16"/>
      <c r="F1422" s="16"/>
      <c r="G1422" s="16"/>
      <c r="L1422" s="48"/>
      <c r="M1422" s="16"/>
      <c r="O1422" s="15"/>
      <c r="P1422" s="15"/>
      <c r="Q1422" s="15"/>
      <c r="R1422" s="15"/>
      <c r="S1422" s="15"/>
      <c r="T1422" s="15"/>
      <c r="U1422" s="15"/>
      <c r="V1422" s="15"/>
      <c r="W1422" s="15"/>
      <c r="X1422" s="15"/>
      <c r="Y1422" s="15"/>
      <c r="Z1422" s="15"/>
    </row>
    <row r="1423" spans="2:26" ht="14" customHeight="1" x14ac:dyDescent="0.25">
      <c r="D1423" s="48"/>
      <c r="E1423" s="16"/>
      <c r="F1423" s="16"/>
      <c r="G1423" s="16"/>
      <c r="L1423" s="48"/>
      <c r="M1423" s="16"/>
    </row>
    <row r="1424" spans="2:26" ht="14" customHeight="1" x14ac:dyDescent="0.25">
      <c r="B1424" s="15" t="s">
        <v>651</v>
      </c>
      <c r="D1424" s="48"/>
      <c r="E1424" s="16"/>
      <c r="F1424" s="16"/>
      <c r="G1424" s="16"/>
      <c r="L1424" s="48"/>
      <c r="M1424" s="16"/>
    </row>
    <row r="1425" spans="2:13" ht="14" customHeight="1" x14ac:dyDescent="0.25">
      <c r="B1425" s="83" t="s">
        <v>582</v>
      </c>
      <c r="C1425" s="85" t="s">
        <v>335</v>
      </c>
      <c r="D1425" s="87" t="s">
        <v>583</v>
      </c>
      <c r="E1425" s="107" t="s">
        <v>337</v>
      </c>
      <c r="F1425" s="107"/>
      <c r="G1425" s="107"/>
      <c r="H1425" s="108" t="s">
        <v>584</v>
      </c>
      <c r="L1425" s="48"/>
      <c r="M1425" s="16"/>
    </row>
    <row r="1426" spans="2:13" ht="14" customHeight="1" x14ac:dyDescent="0.25">
      <c r="B1426" s="78">
        <v>1</v>
      </c>
      <c r="C1426" s="9" t="s">
        <v>68</v>
      </c>
      <c r="D1426" s="112">
        <v>1.33</v>
      </c>
      <c r="E1426" s="45">
        <f t="shared" ref="E1426:E1435" si="94">D1426/H1426</f>
        <v>0.57409245910130791</v>
      </c>
      <c r="F1426" s="45"/>
      <c r="G1426" s="45"/>
      <c r="H1426" s="104">
        <v>2.3167</v>
      </c>
      <c r="L1426" s="48"/>
      <c r="M1426" s="16"/>
    </row>
    <row r="1427" spans="2:13" ht="14" customHeight="1" x14ac:dyDescent="0.25">
      <c r="B1427" s="78">
        <v>2</v>
      </c>
      <c r="C1427" s="9" t="s">
        <v>69</v>
      </c>
      <c r="D1427" s="112">
        <v>0.25</v>
      </c>
      <c r="E1427" s="45">
        <f t="shared" si="94"/>
        <v>0.1079121163724263</v>
      </c>
      <c r="F1427" s="45"/>
      <c r="G1427" s="45"/>
      <c r="H1427" s="104">
        <v>2.3167</v>
      </c>
      <c r="L1427" s="48"/>
      <c r="M1427" s="16"/>
    </row>
    <row r="1428" spans="2:13" ht="14" customHeight="1" x14ac:dyDescent="0.25">
      <c r="B1428" s="78">
        <v>3</v>
      </c>
      <c r="C1428" s="9" t="s">
        <v>70</v>
      </c>
      <c r="D1428" s="112">
        <v>0.19</v>
      </c>
      <c r="E1428" s="45">
        <f t="shared" si="94"/>
        <v>8.2013208443043981E-2</v>
      </c>
      <c r="F1428" s="45"/>
      <c r="G1428" s="45"/>
      <c r="H1428" s="104">
        <v>2.3167</v>
      </c>
      <c r="L1428" s="48"/>
      <c r="M1428" s="16"/>
    </row>
    <row r="1429" spans="2:13" ht="14" customHeight="1" x14ac:dyDescent="0.25">
      <c r="B1429" s="78">
        <v>4</v>
      </c>
      <c r="C1429" s="9" t="s">
        <v>72</v>
      </c>
      <c r="D1429" s="112">
        <v>7.0000000000000007E-2</v>
      </c>
      <c r="E1429" s="45">
        <f t="shared" si="94"/>
        <v>3.0215392584279365E-2</v>
      </c>
      <c r="F1429" s="45"/>
      <c r="G1429" s="45"/>
      <c r="H1429" s="104">
        <v>2.3167</v>
      </c>
      <c r="L1429" s="48"/>
      <c r="M1429" s="16"/>
    </row>
    <row r="1430" spans="2:13" ht="14" customHeight="1" x14ac:dyDescent="0.25">
      <c r="B1430" s="78">
        <v>5</v>
      </c>
      <c r="C1430" s="9" t="s">
        <v>73</v>
      </c>
      <c r="D1430" s="112">
        <v>7.0000000000000007E-2</v>
      </c>
      <c r="E1430" s="45">
        <f t="shared" si="94"/>
        <v>3.0215392584279365E-2</v>
      </c>
      <c r="F1430" s="45"/>
      <c r="G1430" s="45"/>
      <c r="H1430" s="104">
        <v>2.3167</v>
      </c>
      <c r="L1430" s="48"/>
      <c r="M1430" s="16"/>
    </row>
    <row r="1431" spans="2:13" ht="14" customHeight="1" x14ac:dyDescent="0.25">
      <c r="B1431" s="78">
        <v>6</v>
      </c>
      <c r="C1431" s="9" t="s">
        <v>601</v>
      </c>
      <c r="D1431" s="112">
        <v>7.0000000000000007E-2</v>
      </c>
      <c r="E1431" s="45">
        <f t="shared" si="94"/>
        <v>3.0215392584279365E-2</v>
      </c>
      <c r="F1431" s="45"/>
      <c r="G1431" s="45"/>
      <c r="H1431" s="104">
        <v>2.3167</v>
      </c>
      <c r="L1431" s="48"/>
      <c r="M1431" s="16"/>
    </row>
    <row r="1432" spans="2:13" ht="14" customHeight="1" x14ac:dyDescent="0.25">
      <c r="B1432" s="78">
        <v>7</v>
      </c>
      <c r="C1432" s="9" t="s">
        <v>606</v>
      </c>
      <c r="D1432" s="112">
        <v>0.06</v>
      </c>
      <c r="E1432" s="45">
        <f t="shared" si="94"/>
        <v>2.5898907929382309E-2</v>
      </c>
      <c r="F1432" s="45"/>
      <c r="G1432" s="45"/>
      <c r="H1432" s="104">
        <v>2.3167</v>
      </c>
      <c r="L1432" s="48"/>
      <c r="M1432" s="16"/>
    </row>
    <row r="1433" spans="2:13" ht="14" customHeight="1" x14ac:dyDescent="0.25">
      <c r="B1433" s="78">
        <v>8</v>
      </c>
      <c r="C1433" s="9" t="s">
        <v>590</v>
      </c>
      <c r="D1433" s="112">
        <v>0.05</v>
      </c>
      <c r="E1433" s="45">
        <f t="shared" si="94"/>
        <v>2.1582423274485261E-2</v>
      </c>
      <c r="F1433" s="45"/>
      <c r="G1433" s="45"/>
      <c r="H1433" s="104">
        <v>2.3167</v>
      </c>
      <c r="L1433" s="48"/>
      <c r="M1433" s="16"/>
    </row>
    <row r="1434" spans="2:13" ht="14" customHeight="1" x14ac:dyDescent="0.25">
      <c r="B1434" s="78">
        <v>9</v>
      </c>
      <c r="C1434" s="9" t="s">
        <v>595</v>
      </c>
      <c r="D1434" s="112">
        <v>0.05</v>
      </c>
      <c r="E1434" s="45">
        <f t="shared" si="94"/>
        <v>2.1582423274485261E-2</v>
      </c>
      <c r="F1434" s="45"/>
      <c r="G1434" s="45"/>
      <c r="H1434" s="104">
        <v>2.3167</v>
      </c>
      <c r="L1434" s="48"/>
      <c r="M1434" s="16"/>
    </row>
    <row r="1435" spans="2:13" ht="14" customHeight="1" x14ac:dyDescent="0.25">
      <c r="B1435" s="80">
        <v>10</v>
      </c>
      <c r="C1435" s="110" t="s">
        <v>357</v>
      </c>
      <c r="D1435" s="114">
        <v>0.04</v>
      </c>
      <c r="E1435" s="116">
        <f t="shared" si="94"/>
        <v>1.7241379310344831E-2</v>
      </c>
      <c r="F1435" s="116"/>
      <c r="G1435" s="116"/>
      <c r="H1435" s="105">
        <v>2.3199999999999998</v>
      </c>
      <c r="L1435" s="48"/>
      <c r="M1435" s="16"/>
    </row>
  </sheetData>
  <sortState xmlns:xlrd2="http://schemas.microsoft.com/office/spreadsheetml/2017/richdata2" ref="B3:F16">
    <sortCondition descending="1" ref="F3:F16"/>
  </sortState>
  <phoneticPr fontId="14" type="noConversion"/>
  <pageMargins left="0.7" right="0.7" top="0.75" bottom="0.75" header="0.3" footer="0.3"/>
  <pageSetup paperSize="9" orientation="portrait" horizontalDpi="1200" verticalDpi="1200" r:id="rId1"/>
  <ignoredErrors>
    <ignoredError sqref="H44:M4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52"/>
  <sheetViews>
    <sheetView tabSelected="1" topLeftCell="A40" workbookViewId="0">
      <selection activeCell="F51" sqref="F51:G52"/>
    </sheetView>
  </sheetViews>
  <sheetFormatPr defaultColWidth="8.59765625" defaultRowHeight="14" customHeight="1" x14ac:dyDescent="0.25"/>
  <cols>
    <col min="1" max="1" width="5.69921875" style="6" customWidth="1"/>
    <col min="2" max="2" width="25.69921875" style="6" customWidth="1"/>
    <col min="3" max="46" width="8.69921875" style="6" customWidth="1"/>
    <col min="47" max="16384" width="8.59765625" style="6"/>
  </cols>
  <sheetData>
    <row r="1" spans="2:15" ht="14" customHeight="1" x14ac:dyDescent="0.25">
      <c r="B1" s="123" t="s">
        <v>791</v>
      </c>
    </row>
    <row r="2" spans="2:15" ht="14" customHeight="1" x14ac:dyDescent="0.25">
      <c r="B2" s="195"/>
      <c r="C2" s="196">
        <v>2019</v>
      </c>
      <c r="D2" s="196">
        <v>2020</v>
      </c>
      <c r="E2" s="196">
        <v>2021</v>
      </c>
      <c r="F2" s="196" t="s">
        <v>790</v>
      </c>
      <c r="G2" s="196">
        <v>2023</v>
      </c>
      <c r="H2" s="196">
        <v>2024</v>
      </c>
      <c r="I2" s="197">
        <v>2025</v>
      </c>
      <c r="J2" s="191"/>
      <c r="K2" s="191"/>
      <c r="L2" s="191"/>
    </row>
    <row r="3" spans="2:15" ht="14" customHeight="1" x14ac:dyDescent="0.25">
      <c r="B3" s="117" t="s">
        <v>786</v>
      </c>
      <c r="C3" s="198">
        <v>62.2</v>
      </c>
      <c r="D3" s="198">
        <v>63.6</v>
      </c>
      <c r="E3" s="198">
        <v>154.5</v>
      </c>
      <c r="F3" s="198">
        <v>294.60000000000002</v>
      </c>
      <c r="G3" s="198">
        <v>387.7</v>
      </c>
      <c r="H3" s="198">
        <v>548.4</v>
      </c>
      <c r="I3" s="198">
        <v>769.7</v>
      </c>
      <c r="J3" s="192"/>
      <c r="K3" s="192"/>
      <c r="L3" s="192"/>
    </row>
    <row r="4" spans="2:15" ht="14" customHeight="1" x14ac:dyDescent="0.25">
      <c r="B4" s="15" t="s">
        <v>792</v>
      </c>
      <c r="C4" s="199"/>
      <c r="D4" s="200">
        <f>D3/C3-1</f>
        <v>2.2508038585209E-2</v>
      </c>
      <c r="E4" s="200">
        <f t="shared" ref="E4:H4" si="0">E3/D3-1</f>
        <v>1.4292452830188678</v>
      </c>
      <c r="F4" s="200">
        <f t="shared" si="0"/>
        <v>0.90679611650485459</v>
      </c>
      <c r="G4" s="200">
        <f t="shared" si="0"/>
        <v>0.3160217243720298</v>
      </c>
      <c r="H4" s="200">
        <f t="shared" si="0"/>
        <v>0.41449574413206092</v>
      </c>
      <c r="I4" s="200">
        <f>I3/H3-1</f>
        <v>0.40353756382202777</v>
      </c>
      <c r="J4" s="192"/>
      <c r="K4" s="192"/>
      <c r="L4" s="192"/>
    </row>
    <row r="5" spans="2:15" ht="14" customHeight="1" x14ac:dyDescent="0.25">
      <c r="B5" s="117" t="s">
        <v>787</v>
      </c>
      <c r="C5" s="198">
        <v>85.4</v>
      </c>
      <c r="D5" s="198">
        <v>83.4</v>
      </c>
      <c r="E5" s="198">
        <v>219.7</v>
      </c>
      <c r="F5" s="198">
        <v>545.9</v>
      </c>
      <c r="G5" s="198">
        <v>778.1</v>
      </c>
      <c r="H5" s="198">
        <v>1096.8</v>
      </c>
      <c r="I5" s="198">
        <v>1755.6</v>
      </c>
      <c r="J5" s="192"/>
      <c r="K5" s="192"/>
      <c r="L5" s="192"/>
    </row>
    <row r="6" spans="2:15" ht="14" customHeight="1" x14ac:dyDescent="0.25">
      <c r="B6" s="15" t="s">
        <v>792</v>
      </c>
      <c r="C6" s="201"/>
      <c r="D6" s="200">
        <f>D5/C5-1</f>
        <v>-2.3419203747072626E-2</v>
      </c>
      <c r="E6" s="200">
        <f>E5/D5-1</f>
        <v>1.6342925659472418</v>
      </c>
      <c r="F6" s="200">
        <f t="shared" ref="F6:H6" si="1">F5/E5-1</f>
        <v>1.4847519344560767</v>
      </c>
      <c r="G6" s="200">
        <f t="shared" si="1"/>
        <v>0.42535262868657275</v>
      </c>
      <c r="H6" s="200">
        <f t="shared" si="1"/>
        <v>0.40958745662511231</v>
      </c>
      <c r="I6" s="200">
        <f>I5/H5-1</f>
        <v>0.60065645514223198</v>
      </c>
      <c r="J6" s="192"/>
      <c r="K6" s="192"/>
      <c r="L6" s="192"/>
      <c r="N6" s="122"/>
    </row>
    <row r="7" spans="2:15" ht="14" customHeight="1" x14ac:dyDescent="0.25">
      <c r="B7" s="202" t="s">
        <v>793</v>
      </c>
      <c r="C7" s="203">
        <v>55.1</v>
      </c>
      <c r="D7" s="203">
        <v>48.5</v>
      </c>
      <c r="E7" s="203">
        <v>93.9</v>
      </c>
      <c r="F7" s="203">
        <v>212.5</v>
      </c>
      <c r="G7" s="203">
        <v>245.1</v>
      </c>
      <c r="H7" s="203">
        <v>278.3</v>
      </c>
      <c r="I7" s="203">
        <v>347.6</v>
      </c>
      <c r="J7" s="192"/>
      <c r="K7" s="192"/>
      <c r="L7" s="192"/>
    </row>
    <row r="8" spans="2:15" ht="14" customHeight="1" x14ac:dyDescent="0.25">
      <c r="B8" s="204" t="s">
        <v>796</v>
      </c>
      <c r="C8" s="203">
        <v>27.7</v>
      </c>
      <c r="D8" s="203">
        <v>34.6</v>
      </c>
      <c r="E8" s="203">
        <v>125.4</v>
      </c>
      <c r="F8" s="203">
        <v>332.4</v>
      </c>
      <c r="G8" s="203">
        <v>531.4</v>
      </c>
      <c r="H8" s="203">
        <v>816.1</v>
      </c>
      <c r="I8" s="203">
        <v>1405.1</v>
      </c>
      <c r="J8" s="192"/>
      <c r="K8" s="192"/>
      <c r="L8" s="192"/>
    </row>
    <row r="9" spans="2:15" ht="14" customHeight="1" x14ac:dyDescent="0.25">
      <c r="B9" s="202" t="s">
        <v>794</v>
      </c>
      <c r="C9" s="205">
        <f t="shared" ref="C9:F9" si="2">C5-C7-C8</f>
        <v>2.600000000000005</v>
      </c>
      <c r="D9" s="205">
        <f t="shared" si="2"/>
        <v>0.30000000000000426</v>
      </c>
      <c r="E9" s="205">
        <f>E5-E7-E8</f>
        <v>0.39999999999997726</v>
      </c>
      <c r="F9" s="205">
        <f t="shared" si="2"/>
        <v>1</v>
      </c>
      <c r="G9" s="205">
        <v>1.7</v>
      </c>
      <c r="H9" s="205">
        <v>2.2999999999999998</v>
      </c>
      <c r="I9" s="205">
        <f>I5-I7-I8</f>
        <v>2.9000000000000909</v>
      </c>
      <c r="J9" s="122"/>
    </row>
    <row r="12" spans="2:15" ht="14" customHeight="1" x14ac:dyDescent="0.25">
      <c r="B12" s="129" t="s">
        <v>795</v>
      </c>
      <c r="C12" s="129" t="s">
        <v>655</v>
      </c>
      <c r="D12" s="129" t="s">
        <v>656</v>
      </c>
      <c r="E12" s="129" t="s">
        <v>657</v>
      </c>
      <c r="F12" s="129" t="s">
        <v>658</v>
      </c>
      <c r="G12" s="129" t="s">
        <v>659</v>
      </c>
      <c r="H12" s="129" t="s">
        <v>660</v>
      </c>
      <c r="I12" s="129" t="s">
        <v>661</v>
      </c>
      <c r="J12" s="129" t="s">
        <v>662</v>
      </c>
      <c r="K12" s="129" t="s">
        <v>663</v>
      </c>
      <c r="L12" s="129" t="s">
        <v>664</v>
      </c>
      <c r="M12" s="129" t="s">
        <v>665</v>
      </c>
      <c r="N12" s="129" t="s">
        <v>666</v>
      </c>
      <c r="O12" s="129" t="s">
        <v>667</v>
      </c>
    </row>
    <row r="13" spans="2:15" ht="14" customHeight="1" x14ac:dyDescent="0.25">
      <c r="B13" s="15">
        <v>2019</v>
      </c>
      <c r="C13" s="23">
        <v>6.8</v>
      </c>
      <c r="D13" s="23">
        <v>4.8</v>
      </c>
      <c r="E13" s="23">
        <v>8.1999999999999993</v>
      </c>
      <c r="F13" s="23">
        <v>7.3</v>
      </c>
      <c r="G13" s="23">
        <v>9.9</v>
      </c>
      <c r="H13" s="23">
        <v>6.4</v>
      </c>
      <c r="I13" s="23">
        <v>5.7</v>
      </c>
      <c r="J13" s="23">
        <v>6.7</v>
      </c>
      <c r="K13" s="23">
        <v>7.6446000000000005</v>
      </c>
      <c r="L13" s="23">
        <v>6.6673</v>
      </c>
      <c r="M13" s="23">
        <v>9.0427999999999997</v>
      </c>
      <c r="N13" s="23">
        <v>6.2063000000000006</v>
      </c>
      <c r="O13" s="23">
        <v>85.4</v>
      </c>
    </row>
    <row r="14" spans="2:15" ht="14" customHeight="1" x14ac:dyDescent="0.25">
      <c r="B14" s="15">
        <v>2020</v>
      </c>
      <c r="C14" s="23">
        <v>0.83020000000000005</v>
      </c>
      <c r="D14" s="23">
        <v>0.90179999999999993</v>
      </c>
      <c r="E14" s="23">
        <v>4.4782000000000002</v>
      </c>
      <c r="F14" s="23">
        <v>4.7228999999999992</v>
      </c>
      <c r="G14" s="23">
        <v>5.1897000000000002</v>
      </c>
      <c r="H14" s="23">
        <v>5.3458999999999994</v>
      </c>
      <c r="I14" s="23">
        <v>6.0810000000000004</v>
      </c>
      <c r="J14" s="23">
        <v>7.4453999999999994</v>
      </c>
      <c r="K14" s="23">
        <v>8.6152999999999995</v>
      </c>
      <c r="L14" s="23">
        <v>9.8602999999999987</v>
      </c>
      <c r="M14" s="23">
        <v>12.7262</v>
      </c>
      <c r="N14" s="23">
        <v>15.135999999999999</v>
      </c>
      <c r="O14" s="23">
        <v>83.4</v>
      </c>
    </row>
    <row r="15" spans="2:15" ht="14" customHeight="1" x14ac:dyDescent="0.25">
      <c r="B15" s="15">
        <v>2021</v>
      </c>
      <c r="C15" s="23">
        <v>12.049100000000001</v>
      </c>
      <c r="D15" s="23">
        <v>9.4513999999999996</v>
      </c>
      <c r="E15" s="23">
        <v>11.281600000000001</v>
      </c>
      <c r="F15" s="23">
        <v>12.926399999999999</v>
      </c>
      <c r="G15" s="23">
        <v>13.7934</v>
      </c>
      <c r="H15" s="23">
        <v>15.197100000000001</v>
      </c>
      <c r="I15" s="23">
        <v>17.351900000000001</v>
      </c>
      <c r="J15" s="23">
        <v>19.4817</v>
      </c>
      <c r="K15" s="23">
        <v>23.1693</v>
      </c>
      <c r="L15" s="23">
        <v>25.122499999999999</v>
      </c>
      <c r="M15" s="23">
        <v>28.230499999999999</v>
      </c>
      <c r="N15" s="23">
        <v>31.631499999999999</v>
      </c>
      <c r="O15" s="23">
        <f>SUM(C15:N15)</f>
        <v>219.68639999999999</v>
      </c>
    </row>
    <row r="16" spans="2:15" ht="14" customHeight="1" x14ac:dyDescent="0.25">
      <c r="B16" s="15">
        <v>2022</v>
      </c>
      <c r="C16" s="23">
        <v>29.663599999999999</v>
      </c>
      <c r="D16" s="23">
        <v>31.772400000000001</v>
      </c>
      <c r="E16" s="23">
        <v>39.179099999999998</v>
      </c>
      <c r="F16" s="23">
        <v>28.964099999999998</v>
      </c>
      <c r="G16" s="23">
        <v>35.578400000000002</v>
      </c>
      <c r="H16" s="23">
        <v>41.293900000000001</v>
      </c>
      <c r="I16" s="23">
        <v>47.237000000000002</v>
      </c>
      <c r="J16" s="23">
        <v>50.076000000000001</v>
      </c>
      <c r="K16" s="23">
        <v>59.137999999999998</v>
      </c>
      <c r="L16" s="23">
        <v>62.819499999999998</v>
      </c>
      <c r="M16" s="23">
        <v>63.406300000000002</v>
      </c>
      <c r="N16" s="23">
        <v>52.468599999999995</v>
      </c>
      <c r="O16" s="23">
        <v>545.9</v>
      </c>
    </row>
    <row r="17" spans="2:15" ht="14" customHeight="1" x14ac:dyDescent="0.25">
      <c r="B17" s="15">
        <v>2023</v>
      </c>
      <c r="C17" s="23">
        <v>28.1693</v>
      </c>
      <c r="D17" s="23">
        <v>41.450499999999998</v>
      </c>
      <c r="E17" s="23">
        <v>51.186</v>
      </c>
      <c r="F17" s="23">
        <v>46.958300000000001</v>
      </c>
      <c r="G17" s="23">
        <v>56.556100000000001</v>
      </c>
      <c r="H17" s="23">
        <v>60.116099999999996</v>
      </c>
      <c r="I17" s="23">
        <v>60.995800000000003</v>
      </c>
      <c r="J17" s="23">
        <v>73.344999999999999</v>
      </c>
      <c r="K17" s="23">
        <v>77.400000000000006</v>
      </c>
      <c r="L17" s="23">
        <v>77.3</v>
      </c>
      <c r="M17" s="23">
        <v>87.7</v>
      </c>
      <c r="N17" s="23">
        <v>77.7</v>
      </c>
      <c r="O17" s="23">
        <v>778.1</v>
      </c>
    </row>
    <row r="18" spans="2:15" ht="14" customHeight="1" x14ac:dyDescent="0.25">
      <c r="B18" s="15">
        <v>2024</v>
      </c>
      <c r="C18" s="23">
        <v>65.2</v>
      </c>
      <c r="D18" s="23">
        <v>43.6</v>
      </c>
      <c r="E18" s="23">
        <v>75.8</v>
      </c>
      <c r="F18" s="23">
        <v>78.2</v>
      </c>
      <c r="G18" s="23">
        <v>82.7</v>
      </c>
      <c r="H18" s="23">
        <v>84.5</v>
      </c>
      <c r="I18" s="23">
        <v>91.8</v>
      </c>
      <c r="J18" s="23">
        <v>101.3</v>
      </c>
      <c r="K18" s="23">
        <v>111.3</v>
      </c>
      <c r="L18" s="23">
        <v>113</v>
      </c>
      <c r="M18" s="23">
        <v>117.8</v>
      </c>
      <c r="N18" s="23">
        <v>124.5</v>
      </c>
      <c r="O18" s="23">
        <v>1096.8</v>
      </c>
    </row>
    <row r="19" spans="2:15" ht="14" customHeight="1" x14ac:dyDescent="0.25">
      <c r="B19" s="15">
        <v>2025</v>
      </c>
      <c r="C19" s="23">
        <v>107.8</v>
      </c>
      <c r="D19" s="23">
        <v>100.3</v>
      </c>
      <c r="E19" s="23">
        <v>118.3</v>
      </c>
      <c r="F19" s="23">
        <v>118.2</v>
      </c>
      <c r="G19" s="23">
        <v>123.5</v>
      </c>
      <c r="H19" s="23">
        <v>129.19999999999999</v>
      </c>
      <c r="I19" s="23">
        <v>133.80000000000001</v>
      </c>
      <c r="J19" s="23">
        <v>139.6</v>
      </c>
      <c r="K19" s="23">
        <v>151.19999999999999</v>
      </c>
      <c r="L19" s="23">
        <v>170.6</v>
      </c>
      <c r="M19" s="23">
        <v>176.3</v>
      </c>
      <c r="N19" s="23">
        <v>201.7</v>
      </c>
      <c r="O19" s="23">
        <v>1755.6</v>
      </c>
    </row>
    <row r="20" spans="2:15" ht="14" customHeight="1" x14ac:dyDescent="0.25">
      <c r="B20" s="133" t="s">
        <v>425</v>
      </c>
      <c r="C20" s="134">
        <v>0.63200000000000001</v>
      </c>
      <c r="D20" s="134">
        <v>1.282</v>
      </c>
      <c r="E20" s="134">
        <v>0.54300000000000004</v>
      </c>
      <c r="F20" s="134">
        <v>0.49</v>
      </c>
      <c r="G20" s="136">
        <f t="shared" ref="G20:O20" si="3">G19/G18-1</f>
        <v>0.4933494558645708</v>
      </c>
      <c r="H20" s="136">
        <f t="shared" si="3"/>
        <v>0.52899408284023663</v>
      </c>
      <c r="I20" s="136">
        <f t="shared" si="3"/>
        <v>0.4575163398692812</v>
      </c>
      <c r="J20" s="136">
        <f t="shared" si="3"/>
        <v>0.37808489634748277</v>
      </c>
      <c r="K20" s="136">
        <f t="shared" si="3"/>
        <v>0.35849056603773577</v>
      </c>
      <c r="L20" s="136">
        <f t="shared" si="3"/>
        <v>0.50973451327433628</v>
      </c>
      <c r="M20" s="136">
        <f t="shared" si="3"/>
        <v>0.49660441426146029</v>
      </c>
      <c r="N20" s="136">
        <f t="shared" si="3"/>
        <v>0.62008032128514046</v>
      </c>
      <c r="O20" s="136">
        <f t="shared" si="3"/>
        <v>0.60065645514223198</v>
      </c>
    </row>
    <row r="21" spans="2:15" ht="14" customHeight="1" x14ac:dyDescent="0.25">
      <c r="B21" s="133" t="s">
        <v>668</v>
      </c>
      <c r="C21" s="134">
        <v>-0.13400000000000001</v>
      </c>
      <c r="D21" s="134">
        <v>-7.0000000000000007E-2</v>
      </c>
      <c r="E21" s="134">
        <v>0.18</v>
      </c>
      <c r="F21" s="134">
        <v>-2.9999999999999997E-4</v>
      </c>
      <c r="G21" s="136">
        <f t="shared" ref="G21:N21" si="4">G19/F19-1</f>
        <v>4.4839255499153907E-2</v>
      </c>
      <c r="H21" s="136">
        <f t="shared" si="4"/>
        <v>4.615384615384599E-2</v>
      </c>
      <c r="I21" s="136">
        <f t="shared" si="4"/>
        <v>3.5603715170278827E-2</v>
      </c>
      <c r="J21" s="136">
        <f t="shared" si="4"/>
        <v>4.334828101644228E-2</v>
      </c>
      <c r="K21" s="136">
        <f t="shared" si="4"/>
        <v>8.3094555873925557E-2</v>
      </c>
      <c r="L21" s="136">
        <f t="shared" si="4"/>
        <v>0.12830687830687837</v>
      </c>
      <c r="M21" s="136">
        <f t="shared" si="4"/>
        <v>3.341148886283718E-2</v>
      </c>
      <c r="N21" s="136">
        <f t="shared" si="4"/>
        <v>0.14407260351673279</v>
      </c>
      <c r="O21" s="134"/>
    </row>
    <row r="22" spans="2:15" ht="14" customHeight="1" x14ac:dyDescent="0.25">
      <c r="B22" s="15">
        <v>2026</v>
      </c>
      <c r="C22" s="23">
        <v>168</v>
      </c>
      <c r="D22" s="23">
        <v>141.6</v>
      </c>
      <c r="E22" s="23">
        <v>177.7</v>
      </c>
      <c r="F22" s="23">
        <v>183.9</v>
      </c>
      <c r="G22" s="23">
        <v>191.7</v>
      </c>
      <c r="H22" s="23"/>
      <c r="I22" s="23"/>
      <c r="J22" s="23"/>
      <c r="K22" s="23"/>
      <c r="L22" s="23"/>
      <c r="M22" s="23"/>
      <c r="N22" s="23"/>
      <c r="O22" s="23"/>
    </row>
    <row r="23" spans="2:15" ht="14" customHeight="1" x14ac:dyDescent="0.25">
      <c r="B23" s="133" t="s">
        <v>425</v>
      </c>
      <c r="C23" s="134">
        <f>C22/C19-1</f>
        <v>0.55844155844155852</v>
      </c>
      <c r="D23" s="134">
        <f>D22/D19-1</f>
        <v>0.41176470588235303</v>
      </c>
      <c r="E23" s="134">
        <f>E22/E19-1</f>
        <v>0.5021132713440406</v>
      </c>
      <c r="F23" s="134">
        <f>F22/F19-1</f>
        <v>0.55583756345177671</v>
      </c>
      <c r="G23" s="134">
        <f>G22/G19-1</f>
        <v>0.55222672064777312</v>
      </c>
      <c r="H23" s="134"/>
      <c r="I23" s="134"/>
      <c r="J23" s="134"/>
      <c r="K23" s="134"/>
      <c r="L23" s="134"/>
      <c r="M23" s="134"/>
      <c r="N23" s="134"/>
      <c r="O23" s="135"/>
    </row>
    <row r="24" spans="2:15" ht="14" customHeight="1" x14ac:dyDescent="0.25">
      <c r="B24" s="133" t="s">
        <v>668</v>
      </c>
      <c r="C24" s="134">
        <f>C22/N19-1</f>
        <v>-0.16707982151710454</v>
      </c>
      <c r="D24" s="134">
        <f>D22/C22-1</f>
        <v>-0.15714285714285714</v>
      </c>
      <c r="E24" s="134">
        <f>E22/D22-1</f>
        <v>0.25494350282485878</v>
      </c>
      <c r="F24" s="134">
        <f>F22/E22-1</f>
        <v>3.4890264490714751E-2</v>
      </c>
      <c r="G24" s="134">
        <f>G22/F22-1</f>
        <v>4.2414355628058731E-2</v>
      </c>
      <c r="H24" s="134"/>
      <c r="I24" s="134"/>
      <c r="J24" s="134"/>
      <c r="K24" s="134"/>
      <c r="L24" s="134"/>
      <c r="M24" s="134"/>
      <c r="N24" s="134"/>
      <c r="O24" s="137"/>
    </row>
    <row r="25" spans="2:15" ht="14" customHeight="1" x14ac:dyDescent="0.25">
      <c r="J25" s="194" t="s">
        <v>788</v>
      </c>
    </row>
    <row r="26" spans="2:15" ht="14" customHeight="1" x14ac:dyDescent="0.25">
      <c r="B26" s="296" t="s">
        <v>985</v>
      </c>
      <c r="C26" s="129" t="s">
        <v>655</v>
      </c>
      <c r="D26" s="129" t="s">
        <v>656</v>
      </c>
      <c r="E26" s="129" t="s">
        <v>657</v>
      </c>
      <c r="F26" s="129" t="s">
        <v>658</v>
      </c>
      <c r="G26" s="129" t="s">
        <v>659</v>
      </c>
      <c r="H26" s="129" t="s">
        <v>660</v>
      </c>
      <c r="I26" s="129" t="s">
        <v>661</v>
      </c>
      <c r="J26" s="129" t="s">
        <v>662</v>
      </c>
      <c r="K26" s="129" t="s">
        <v>663</v>
      </c>
      <c r="L26" s="129" t="s">
        <v>664</v>
      </c>
      <c r="M26" s="129" t="s">
        <v>665</v>
      </c>
      <c r="N26" s="129" t="s">
        <v>666</v>
      </c>
      <c r="O26" s="129" t="s">
        <v>667</v>
      </c>
    </row>
    <row r="27" spans="2:15" ht="14" customHeight="1" x14ac:dyDescent="0.25">
      <c r="B27" s="15">
        <v>2019</v>
      </c>
      <c r="C27" s="23"/>
      <c r="D27" s="23"/>
      <c r="E27" s="23">
        <v>5.5</v>
      </c>
      <c r="F27" s="23">
        <v>4.3</v>
      </c>
      <c r="G27" s="23">
        <v>6.5</v>
      </c>
      <c r="H27" s="23">
        <v>4.5</v>
      </c>
      <c r="I27" s="23">
        <v>4.3</v>
      </c>
      <c r="J27" s="23">
        <v>4.5999999999999996</v>
      </c>
      <c r="K27" s="23">
        <v>4.7193000000000005</v>
      </c>
      <c r="L27" s="23">
        <v>3.9509000000000003</v>
      </c>
      <c r="M27" s="23">
        <v>5.3727</v>
      </c>
      <c r="N27" s="23">
        <v>4.8265000000000002</v>
      </c>
      <c r="O27" s="207">
        <v>55.1</v>
      </c>
    </row>
    <row r="28" spans="2:15" ht="14" customHeight="1" x14ac:dyDescent="0.25">
      <c r="B28" s="15">
        <v>2020</v>
      </c>
      <c r="C28" s="23">
        <v>0.36599999999999999</v>
      </c>
      <c r="D28" s="23">
        <v>0.46289999999999998</v>
      </c>
      <c r="E28" s="23">
        <v>3.2425999999999999</v>
      </c>
      <c r="F28" s="23">
        <v>2.8623000000000003</v>
      </c>
      <c r="G28" s="23">
        <v>3.0691999999999999</v>
      </c>
      <c r="H28" s="23">
        <v>3.1488</v>
      </c>
      <c r="I28" s="23">
        <v>3.2736999999999998</v>
      </c>
      <c r="J28" s="23">
        <v>4.3685</v>
      </c>
      <c r="K28" s="23">
        <v>4.7537000000000003</v>
      </c>
      <c r="L28" s="23">
        <v>5.5173000000000005</v>
      </c>
      <c r="M28" s="23">
        <v>7.2866</v>
      </c>
      <c r="N28" s="23">
        <v>8.4958999999999989</v>
      </c>
      <c r="O28" s="207">
        <v>48.5</v>
      </c>
    </row>
    <row r="29" spans="2:15" ht="14" customHeight="1" x14ac:dyDescent="0.25">
      <c r="B29" s="15">
        <v>2021</v>
      </c>
      <c r="C29" s="23">
        <v>6.8475000000000001</v>
      </c>
      <c r="D29" s="23">
        <v>5.1221000000000005</v>
      </c>
      <c r="E29" s="23">
        <v>5.8247999999999998</v>
      </c>
      <c r="F29" s="23">
        <v>6.7051000000000007</v>
      </c>
      <c r="G29" s="23">
        <v>4.9995000000000003</v>
      </c>
      <c r="H29" s="23">
        <v>7.3561999999999994</v>
      </c>
      <c r="I29" s="23">
        <v>7.9862000000000002</v>
      </c>
      <c r="J29" s="23">
        <v>8.3667000000000016</v>
      </c>
      <c r="K29" s="23">
        <v>9.6302000000000003</v>
      </c>
      <c r="L29" s="23">
        <v>9.2002000000000006</v>
      </c>
      <c r="M29" s="23">
        <v>10.3887</v>
      </c>
      <c r="N29" s="23">
        <v>11.4352</v>
      </c>
      <c r="O29" s="207">
        <f>SUM(C29:N29)</f>
        <v>93.862400000000008</v>
      </c>
    </row>
    <row r="30" spans="2:15" ht="14" customHeight="1" x14ac:dyDescent="0.25">
      <c r="B30" s="15">
        <v>2022</v>
      </c>
      <c r="C30" s="23">
        <v>10.815299999999999</v>
      </c>
      <c r="D30" s="23">
        <v>11.639100000000001</v>
      </c>
      <c r="E30" s="23">
        <v>15.568200000000001</v>
      </c>
      <c r="F30" s="23">
        <v>10.295399999999999</v>
      </c>
      <c r="G30" s="23">
        <v>16.282399999999999</v>
      </c>
      <c r="H30" s="23">
        <v>18.3123</v>
      </c>
      <c r="I30" s="23">
        <v>16.5838</v>
      </c>
      <c r="J30" s="23">
        <v>19.250599999999999</v>
      </c>
      <c r="K30" s="23">
        <v>24.278299999999998</v>
      </c>
      <c r="L30" s="23">
        <v>24.24</v>
      </c>
      <c r="M30" s="23">
        <v>24.201799999999999</v>
      </c>
      <c r="N30" s="23">
        <v>18.4648</v>
      </c>
      <c r="O30" s="207">
        <v>212.5</v>
      </c>
    </row>
    <row r="31" spans="2:15" ht="14" customHeight="1" x14ac:dyDescent="0.25">
      <c r="B31" s="15">
        <v>2023</v>
      </c>
      <c r="C31" s="23">
        <v>9.8128999999999991</v>
      </c>
      <c r="D31" s="23">
        <v>14.5534</v>
      </c>
      <c r="E31" s="23">
        <v>18.226800000000001</v>
      </c>
      <c r="F31" s="23">
        <v>17.597200000000001</v>
      </c>
      <c r="G31" s="23">
        <v>18.611000000000001</v>
      </c>
      <c r="H31" s="23">
        <v>17.6966</v>
      </c>
      <c r="I31" s="23">
        <v>20.394299999999998</v>
      </c>
      <c r="J31" s="23">
        <v>23.1328</v>
      </c>
      <c r="K31" s="23">
        <v>25.3</v>
      </c>
      <c r="L31" s="23">
        <v>23.6</v>
      </c>
      <c r="M31" s="23">
        <v>27.8</v>
      </c>
      <c r="N31" s="23">
        <v>25</v>
      </c>
      <c r="O31" s="207">
        <v>245.1</v>
      </c>
    </row>
    <row r="32" spans="2:15" ht="14" customHeight="1" x14ac:dyDescent="0.25">
      <c r="B32" s="15">
        <v>2024</v>
      </c>
      <c r="C32" s="23">
        <v>22.7</v>
      </c>
      <c r="D32" s="23">
        <v>14.8</v>
      </c>
      <c r="E32" s="23">
        <v>24.2</v>
      </c>
      <c r="F32" s="23">
        <v>22.7</v>
      </c>
      <c r="G32" s="23">
        <v>22</v>
      </c>
      <c r="H32" s="23">
        <v>20.5</v>
      </c>
      <c r="I32" s="23">
        <v>23</v>
      </c>
      <c r="J32" s="23">
        <v>24.8</v>
      </c>
      <c r="K32" s="23">
        <v>27</v>
      </c>
      <c r="L32" s="23">
        <v>23.5</v>
      </c>
      <c r="M32" s="23">
        <v>24.2</v>
      </c>
      <c r="N32" s="23">
        <v>26</v>
      </c>
      <c r="O32" s="207">
        <v>278.3</v>
      </c>
    </row>
    <row r="33" spans="2:17" ht="14" customHeight="1" x14ac:dyDescent="0.25">
      <c r="B33" s="15">
        <v>2025</v>
      </c>
      <c r="C33" s="23">
        <v>20.7</v>
      </c>
      <c r="D33" s="23">
        <v>19.3</v>
      </c>
      <c r="E33" s="23">
        <v>23.8</v>
      </c>
      <c r="F33" s="23">
        <v>23.5</v>
      </c>
      <c r="G33" s="23">
        <v>27.2</v>
      </c>
      <c r="H33" s="23">
        <v>29.5</v>
      </c>
      <c r="I33" s="23">
        <v>29.5</v>
      </c>
      <c r="J33" s="23">
        <v>30.9</v>
      </c>
      <c r="K33" s="23">
        <v>31.5</v>
      </c>
      <c r="L33" s="23">
        <v>33.700000000000003</v>
      </c>
      <c r="M33" s="23">
        <v>36.4</v>
      </c>
      <c r="N33" s="23">
        <v>40.6</v>
      </c>
      <c r="O33" s="207">
        <v>347.6</v>
      </c>
    </row>
    <row r="34" spans="2:17" ht="14" customHeight="1" x14ac:dyDescent="0.25">
      <c r="B34" s="133" t="s">
        <v>425</v>
      </c>
      <c r="C34" s="134">
        <v>-0.1</v>
      </c>
      <c r="D34" s="134">
        <v>0.28599999999999998</v>
      </c>
      <c r="E34" s="134">
        <v>-3.3000000000000002E-2</v>
      </c>
      <c r="F34" s="136">
        <f t="shared" ref="F34:O34" si="5">F33/F32-1</f>
        <v>3.524229074889873E-2</v>
      </c>
      <c r="G34" s="136">
        <f t="shared" si="5"/>
        <v>0.23636363636363633</v>
      </c>
      <c r="H34" s="136">
        <f t="shared" si="5"/>
        <v>0.43902439024390238</v>
      </c>
      <c r="I34" s="136">
        <f t="shared" si="5"/>
        <v>0.28260869565217384</v>
      </c>
      <c r="J34" s="136">
        <f t="shared" si="5"/>
        <v>0.24596774193548376</v>
      </c>
      <c r="K34" s="136">
        <f t="shared" si="5"/>
        <v>0.16666666666666674</v>
      </c>
      <c r="L34" s="136">
        <f t="shared" si="5"/>
        <v>0.43404255319148954</v>
      </c>
      <c r="M34" s="136">
        <f t="shared" si="5"/>
        <v>0.50413223140495855</v>
      </c>
      <c r="N34" s="136">
        <f t="shared" si="5"/>
        <v>0.56153846153846154</v>
      </c>
      <c r="O34" s="136">
        <f t="shared" si="5"/>
        <v>0.24901185770751</v>
      </c>
    </row>
    <row r="35" spans="2:17" ht="14" customHeight="1" x14ac:dyDescent="0.25">
      <c r="B35" s="133" t="s">
        <v>668</v>
      </c>
      <c r="C35" s="134">
        <v>-0.2</v>
      </c>
      <c r="D35" s="134">
        <v>-6.8000000000000005E-2</v>
      </c>
      <c r="E35" s="134">
        <v>0.23400000000000001</v>
      </c>
      <c r="F35" s="134">
        <f t="shared" ref="F35:N35" si="6">F33/E33-1</f>
        <v>-1.2605042016806789E-2</v>
      </c>
      <c r="G35" s="134">
        <f t="shared" si="6"/>
        <v>0.15744680851063819</v>
      </c>
      <c r="H35" s="134">
        <f t="shared" si="6"/>
        <v>8.4558823529411686E-2</v>
      </c>
      <c r="I35" s="134">
        <v>1E-3</v>
      </c>
      <c r="J35" s="134">
        <f t="shared" si="6"/>
        <v>4.7457627118643986E-2</v>
      </c>
      <c r="K35" s="134">
        <f t="shared" si="6"/>
        <v>1.9417475728155331E-2</v>
      </c>
      <c r="L35" s="134">
        <f t="shared" si="6"/>
        <v>6.9841269841270037E-2</v>
      </c>
      <c r="M35" s="134">
        <f t="shared" si="6"/>
        <v>8.0118694362017573E-2</v>
      </c>
      <c r="N35" s="134">
        <f t="shared" si="6"/>
        <v>0.11538461538461542</v>
      </c>
      <c r="O35" s="134"/>
    </row>
    <row r="36" spans="2:17" ht="14" customHeight="1" x14ac:dyDescent="0.25">
      <c r="B36" s="15">
        <v>2026</v>
      </c>
      <c r="C36" s="23">
        <v>31.3</v>
      </c>
      <c r="D36" s="23">
        <v>26.9</v>
      </c>
      <c r="E36" s="23">
        <v>31.3</v>
      </c>
      <c r="F36" s="23">
        <v>31.6</v>
      </c>
      <c r="G36" s="23">
        <v>35.6</v>
      </c>
      <c r="H36" s="23"/>
      <c r="I36" s="23"/>
      <c r="J36" s="23"/>
      <c r="K36" s="23"/>
      <c r="L36" s="23"/>
      <c r="M36" s="23"/>
      <c r="N36" s="23"/>
      <c r="O36" s="23"/>
    </row>
    <row r="37" spans="2:17" ht="14" customHeight="1" x14ac:dyDescent="0.25">
      <c r="B37" s="133" t="s">
        <v>425</v>
      </c>
      <c r="C37" s="134">
        <f>C36/C33-1</f>
        <v>0.51207729468599039</v>
      </c>
      <c r="D37" s="134">
        <f>D36/D33-1</f>
        <v>0.39378238341968896</v>
      </c>
      <c r="E37" s="134">
        <f>E36/E33-1</f>
        <v>0.31512605042016806</v>
      </c>
      <c r="F37" s="134">
        <f>F36/F33-1</f>
        <v>0.34468085106382995</v>
      </c>
      <c r="G37" s="134">
        <f>G36/G33-1</f>
        <v>0.30882352941176472</v>
      </c>
      <c r="H37" s="134"/>
      <c r="I37" s="134"/>
      <c r="J37" s="134"/>
      <c r="K37" s="134"/>
      <c r="L37" s="134"/>
      <c r="M37" s="134"/>
      <c r="N37" s="134"/>
      <c r="O37" s="135"/>
    </row>
    <row r="38" spans="2:17" ht="14" customHeight="1" x14ac:dyDescent="0.25">
      <c r="B38" s="133" t="s">
        <v>668</v>
      </c>
      <c r="C38" s="134">
        <f>C36/N33-1</f>
        <v>-0.22906403940886699</v>
      </c>
      <c r="D38" s="134">
        <f>D36/C36-1</f>
        <v>-0.14057507987220452</v>
      </c>
      <c r="E38" s="134">
        <f>E36/D36-1</f>
        <v>0.16356877323420083</v>
      </c>
      <c r="F38" s="134">
        <f>F36/E36-1</f>
        <v>9.5846645367412275E-3</v>
      </c>
      <c r="G38" s="134">
        <f>G36/F36-1</f>
        <v>0.12658227848101267</v>
      </c>
      <c r="H38" s="134"/>
      <c r="I38" s="134"/>
      <c r="J38" s="134"/>
      <c r="K38" s="134"/>
      <c r="L38" s="134"/>
      <c r="M38" s="134"/>
      <c r="N38" s="134"/>
      <c r="O38" s="137"/>
    </row>
    <row r="40" spans="2:17" ht="14" customHeight="1" x14ac:dyDescent="0.25">
      <c r="B40" s="296" t="s">
        <v>986</v>
      </c>
      <c r="C40" s="129" t="s">
        <v>655</v>
      </c>
      <c r="D40" s="129" t="s">
        <v>656</v>
      </c>
      <c r="E40" s="129" t="s">
        <v>657</v>
      </c>
      <c r="F40" s="129" t="s">
        <v>658</v>
      </c>
      <c r="G40" s="129" t="s">
        <v>659</v>
      </c>
      <c r="H40" s="129" t="s">
        <v>660</v>
      </c>
      <c r="I40" s="129" t="s">
        <v>661</v>
      </c>
      <c r="J40" s="129" t="s">
        <v>662</v>
      </c>
      <c r="K40" s="129" t="s">
        <v>663</v>
      </c>
      <c r="L40" s="129" t="s">
        <v>664</v>
      </c>
      <c r="M40" s="129" t="s">
        <v>665</v>
      </c>
      <c r="N40" s="129" t="s">
        <v>666</v>
      </c>
      <c r="O40" s="129" t="s">
        <v>667</v>
      </c>
    </row>
    <row r="41" spans="2:17" ht="14" customHeight="1" x14ac:dyDescent="0.25">
      <c r="B41" s="15">
        <v>2019</v>
      </c>
      <c r="C41" s="23"/>
      <c r="D41" s="23"/>
      <c r="E41" s="23">
        <v>2.5</v>
      </c>
      <c r="F41" s="23">
        <v>2.8</v>
      </c>
      <c r="G41" s="23">
        <v>2.2999999999999998</v>
      </c>
      <c r="H41" s="23">
        <v>1.7</v>
      </c>
      <c r="I41" s="23">
        <v>1.4</v>
      </c>
      <c r="J41" s="23">
        <v>2.1</v>
      </c>
      <c r="K41" s="23">
        <v>2.8639999999999999</v>
      </c>
      <c r="L41" s="23">
        <v>2.6511</v>
      </c>
      <c r="M41" s="23">
        <v>3.6218000000000004</v>
      </c>
      <c r="N41" s="23">
        <v>1.1807000000000001</v>
      </c>
      <c r="O41" s="138">
        <v>27.7</v>
      </c>
      <c r="Q41" s="193"/>
    </row>
    <row r="42" spans="2:17" ht="14" customHeight="1" x14ac:dyDescent="0.25">
      <c r="B42" s="15">
        <v>2020</v>
      </c>
      <c r="C42" s="23">
        <v>0.45539999999999997</v>
      </c>
      <c r="D42" s="23">
        <v>0.43889999999999996</v>
      </c>
      <c r="E42" s="23">
        <v>1.2344999999999999</v>
      </c>
      <c r="F42" s="23">
        <v>1.8462000000000001</v>
      </c>
      <c r="G42" s="23">
        <v>2.1004999999999998</v>
      </c>
      <c r="H42" s="23">
        <v>2.1823000000000001</v>
      </c>
      <c r="I42" s="23">
        <v>2.7749999999999999</v>
      </c>
      <c r="J42" s="23">
        <v>3.0108000000000001</v>
      </c>
      <c r="K42" s="23">
        <v>3.839</v>
      </c>
      <c r="L42" s="23">
        <v>4.3226000000000004</v>
      </c>
      <c r="M42" s="23">
        <v>5.4066000000000001</v>
      </c>
      <c r="N42" s="23">
        <v>6.5196999999999994</v>
      </c>
      <c r="O42" s="138">
        <v>34.6</v>
      </c>
    </row>
    <row r="43" spans="2:17" ht="14" customHeight="1" x14ac:dyDescent="0.25">
      <c r="B43" s="15">
        <v>2021</v>
      </c>
      <c r="C43" s="23">
        <v>5.1936999999999998</v>
      </c>
      <c r="D43" s="23">
        <v>4.3206999999999995</v>
      </c>
      <c r="E43" s="23">
        <v>5.4476000000000004</v>
      </c>
      <c r="F43" s="23">
        <v>6.1926000000000005</v>
      </c>
      <c r="G43" s="23">
        <v>8.7659000000000002</v>
      </c>
      <c r="H43" s="23">
        <v>7.7773999999999992</v>
      </c>
      <c r="I43" s="23">
        <v>9.3302999999999994</v>
      </c>
      <c r="J43" s="23">
        <v>11.085799999999999</v>
      </c>
      <c r="K43" s="23">
        <v>13.514100000000001</v>
      </c>
      <c r="L43" s="23">
        <v>15.892100000000001</v>
      </c>
      <c r="M43" s="23">
        <v>17.798200000000001</v>
      </c>
      <c r="N43" s="23">
        <v>20.059799999999999</v>
      </c>
      <c r="O43" s="138">
        <f>SUM(C43:N43)</f>
        <v>125.37819999999999</v>
      </c>
    </row>
    <row r="44" spans="2:17" ht="14" customHeight="1" x14ac:dyDescent="0.25">
      <c r="B44" s="15">
        <v>2022</v>
      </c>
      <c r="C44" s="23">
        <v>18.790099999999999</v>
      </c>
      <c r="D44" s="23">
        <v>20.052199999999999</v>
      </c>
      <c r="E44" s="23">
        <v>23.581700000000001</v>
      </c>
      <c r="F44" s="23">
        <v>18.6234</v>
      </c>
      <c r="G44" s="23">
        <v>19.233900000000002</v>
      </c>
      <c r="H44" s="23">
        <v>22.9299</v>
      </c>
      <c r="I44" s="23">
        <v>30.603300000000001</v>
      </c>
      <c r="J44" s="23">
        <v>30.768099999999997</v>
      </c>
      <c r="K44" s="23">
        <v>34.779800000000002</v>
      </c>
      <c r="L44" s="23">
        <v>38.551000000000002</v>
      </c>
      <c r="M44" s="23">
        <v>39.109300000000005</v>
      </c>
      <c r="N44" s="23">
        <v>33.895400000000002</v>
      </c>
      <c r="O44" s="138">
        <v>332.4</v>
      </c>
    </row>
    <row r="45" spans="2:17" ht="14" customHeight="1" x14ac:dyDescent="0.25">
      <c r="B45" s="15">
        <v>2023</v>
      </c>
      <c r="C45" s="23">
        <v>18.32</v>
      </c>
      <c r="D45" s="23">
        <v>26.8111</v>
      </c>
      <c r="E45" s="23">
        <v>32.892000000000003</v>
      </c>
      <c r="F45" s="23">
        <v>29.319299999999998</v>
      </c>
      <c r="G45" s="23">
        <v>37.817699999999995</v>
      </c>
      <c r="H45" s="23">
        <v>42.242899999999999</v>
      </c>
      <c r="I45" s="23">
        <v>40.499300000000005</v>
      </c>
      <c r="J45" s="23">
        <v>50.032899999999998</v>
      </c>
      <c r="K45" s="23">
        <v>51.9</v>
      </c>
      <c r="L45" s="23">
        <v>53.6</v>
      </c>
      <c r="M45" s="23">
        <v>59.8</v>
      </c>
      <c r="N45" s="23">
        <v>52.5</v>
      </c>
      <c r="O45" s="138">
        <v>531.4</v>
      </c>
    </row>
    <row r="46" spans="2:17" ht="14" customHeight="1" x14ac:dyDescent="0.25">
      <c r="B46" s="15">
        <v>2024</v>
      </c>
      <c r="C46" s="23">
        <v>42.4</v>
      </c>
      <c r="D46" s="23">
        <v>28.6</v>
      </c>
      <c r="E46" s="23">
        <v>51.4</v>
      </c>
      <c r="F46" s="23">
        <v>55.4</v>
      </c>
      <c r="G46" s="23">
        <v>60.5</v>
      </c>
      <c r="H46" s="23">
        <v>63.8</v>
      </c>
      <c r="I46" s="23">
        <v>68.5</v>
      </c>
      <c r="J46" s="23">
        <v>76.3</v>
      </c>
      <c r="K46" s="23">
        <v>84.2</v>
      </c>
      <c r="L46" s="23">
        <v>89.5</v>
      </c>
      <c r="M46" s="23">
        <v>93.4</v>
      </c>
      <c r="N46" s="23">
        <v>98.1</v>
      </c>
      <c r="O46" s="138">
        <v>816.1</v>
      </c>
    </row>
    <row r="47" spans="2:17" ht="14" customHeight="1" x14ac:dyDescent="0.25">
      <c r="B47" s="15">
        <v>2025</v>
      </c>
      <c r="C47" s="23">
        <v>87</v>
      </c>
      <c r="D47" s="23">
        <v>80.900000000000006</v>
      </c>
      <c r="E47" s="23">
        <v>94.3</v>
      </c>
      <c r="F47" s="23">
        <v>94.6</v>
      </c>
      <c r="G47" s="23">
        <v>96.1</v>
      </c>
      <c r="H47" s="23">
        <v>99.5</v>
      </c>
      <c r="I47" s="23">
        <v>104.1</v>
      </c>
      <c r="J47" s="23">
        <v>108.6</v>
      </c>
      <c r="K47" s="23">
        <v>119.4</v>
      </c>
      <c r="L47" s="23">
        <v>136.69999999999999</v>
      </c>
      <c r="M47" s="23">
        <v>139.6</v>
      </c>
      <c r="N47" s="23">
        <v>160.5</v>
      </c>
      <c r="O47" s="207">
        <v>1405.1</v>
      </c>
    </row>
    <row r="48" spans="2:17" ht="14" customHeight="1" x14ac:dyDescent="0.25">
      <c r="B48" s="133" t="s">
        <v>425</v>
      </c>
      <c r="C48" s="136">
        <v>1.03</v>
      </c>
      <c r="D48" s="136">
        <v>1.81</v>
      </c>
      <c r="E48" s="136">
        <v>0.81699999999999995</v>
      </c>
      <c r="F48" s="136">
        <f t="shared" ref="F48:O48" si="7">F47/F46-1</f>
        <v>0.70758122743682295</v>
      </c>
      <c r="G48" s="136">
        <f t="shared" si="7"/>
        <v>0.5884297520661157</v>
      </c>
      <c r="H48" s="136">
        <f t="shared" si="7"/>
        <v>0.55956112852664575</v>
      </c>
      <c r="I48" s="136">
        <f t="shared" si="7"/>
        <v>0.51970802919708015</v>
      </c>
      <c r="J48" s="136">
        <f t="shared" si="7"/>
        <v>0.42332896461336822</v>
      </c>
      <c r="K48" s="136">
        <f t="shared" si="7"/>
        <v>0.41805225653206657</v>
      </c>
      <c r="L48" s="136">
        <f t="shared" si="7"/>
        <v>0.52737430167597754</v>
      </c>
      <c r="M48" s="136">
        <f t="shared" si="7"/>
        <v>0.49464668094218389</v>
      </c>
      <c r="N48" s="136">
        <f t="shared" si="7"/>
        <v>0.63608562691131509</v>
      </c>
      <c r="O48" s="136">
        <f t="shared" si="7"/>
        <v>0.72172527876485715</v>
      </c>
    </row>
    <row r="49" spans="2:15" ht="14" customHeight="1" x14ac:dyDescent="0.25">
      <c r="B49" s="133" t="s">
        <v>668</v>
      </c>
      <c r="C49" s="134">
        <v>-0.11</v>
      </c>
      <c r="D49" s="134">
        <v>-7.0000000000000007E-2</v>
      </c>
      <c r="E49" s="134">
        <v>0.16600000000000001</v>
      </c>
      <c r="F49" s="134">
        <f t="shared" ref="F49:N49" si="8">F47/E47-1</f>
        <v>3.1813361611876534E-3</v>
      </c>
      <c r="G49" s="134">
        <f t="shared" si="8"/>
        <v>1.5856236786469413E-2</v>
      </c>
      <c r="H49" s="134">
        <f t="shared" si="8"/>
        <v>3.5379812695109258E-2</v>
      </c>
      <c r="I49" s="134">
        <f t="shared" si="8"/>
        <v>4.6231155778894362E-2</v>
      </c>
      <c r="J49" s="134">
        <f t="shared" si="8"/>
        <v>4.3227665706051965E-2</v>
      </c>
      <c r="K49" s="134">
        <f t="shared" si="8"/>
        <v>9.9447513812154886E-2</v>
      </c>
      <c r="L49" s="134">
        <f t="shared" si="8"/>
        <v>0.14489112227805689</v>
      </c>
      <c r="M49" s="134">
        <f t="shared" si="8"/>
        <v>2.1214337966349639E-2</v>
      </c>
      <c r="N49" s="134">
        <f t="shared" si="8"/>
        <v>0.14971346704871058</v>
      </c>
      <c r="O49" s="134"/>
    </row>
    <row r="50" spans="2:15" ht="14" customHeight="1" x14ac:dyDescent="0.25">
      <c r="B50" s="15">
        <v>2026</v>
      </c>
      <c r="C50" s="23">
        <v>136.69999999999999</v>
      </c>
      <c r="D50" s="23">
        <v>114.6</v>
      </c>
      <c r="E50" s="23">
        <v>146.19999999999999</v>
      </c>
      <c r="F50" s="23">
        <v>152.30000000000001</v>
      </c>
      <c r="G50" s="23">
        <v>155.80000000000001</v>
      </c>
      <c r="H50" s="23"/>
      <c r="I50" s="23"/>
      <c r="J50" s="23"/>
      <c r="K50" s="23"/>
      <c r="L50" s="23"/>
      <c r="M50" s="23"/>
      <c r="N50" s="23"/>
      <c r="O50" s="23"/>
    </row>
    <row r="51" spans="2:15" ht="14" customHeight="1" x14ac:dyDescent="0.25">
      <c r="B51" s="133" t="s">
        <v>425</v>
      </c>
      <c r="C51" s="134">
        <f>C50/C47-1</f>
        <v>0.5712643678160918</v>
      </c>
      <c r="D51" s="134">
        <f>D50/D47-1</f>
        <v>0.41656365883807145</v>
      </c>
      <c r="E51" s="134">
        <f>E50/E47-1</f>
        <v>0.55037115588547181</v>
      </c>
      <c r="F51" s="134">
        <f>F50/F47-1</f>
        <v>0.60993657505285426</v>
      </c>
      <c r="G51" s="134">
        <f>G50/G47-1</f>
        <v>0.62122788761706582</v>
      </c>
      <c r="H51" s="134"/>
      <c r="I51" s="134"/>
      <c r="J51" s="134"/>
      <c r="K51" s="134"/>
      <c r="L51" s="134"/>
      <c r="M51" s="134"/>
      <c r="N51" s="134"/>
      <c r="O51" s="135"/>
    </row>
    <row r="52" spans="2:15" ht="14" customHeight="1" x14ac:dyDescent="0.25">
      <c r="B52" s="133" t="s">
        <v>668</v>
      </c>
      <c r="C52" s="134">
        <f>C50/N47-1</f>
        <v>-0.14828660436137076</v>
      </c>
      <c r="D52" s="134">
        <f>D50/C50-1</f>
        <v>-0.16166788588149228</v>
      </c>
      <c r="E52" s="134">
        <f>E50/D50-1</f>
        <v>0.27574171029668415</v>
      </c>
      <c r="F52" s="134">
        <f>F50/E50-1</f>
        <v>4.1723666210670363E-2</v>
      </c>
      <c r="G52" s="134">
        <f>G50/F50-1</f>
        <v>2.2980958634274407E-2</v>
      </c>
      <c r="H52" s="134"/>
      <c r="I52" s="134"/>
      <c r="J52" s="134"/>
      <c r="K52" s="134"/>
      <c r="L52" s="134"/>
      <c r="M52" s="134"/>
      <c r="N52" s="134"/>
      <c r="O52" s="137"/>
    </row>
  </sheetData>
  <phoneticPr fontId="14" type="noConversion"/>
  <pageMargins left="0.7" right="0.7" top="0.75" bottom="0.75" header="0.3" footer="0.3"/>
  <pageSetup paperSize="9" orientation="portrait" horizontalDpi="1200" verticalDpi="1200"/>
  <ignoredErrors>
    <ignoredError sqref="O15 O29 O4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9CCE-4B99-42D5-B474-ECC4B3692299}">
  <dimension ref="B1:N63"/>
  <sheetViews>
    <sheetView topLeftCell="B1" workbookViewId="0">
      <selection activeCell="G11" sqref="G11"/>
    </sheetView>
  </sheetViews>
  <sheetFormatPr defaultColWidth="8.69921875" defaultRowHeight="14" customHeight="1" x14ac:dyDescent="0.25"/>
  <cols>
    <col min="1" max="1" width="5.69921875" style="123" customWidth="1"/>
    <col min="2" max="2" width="16.8984375" style="123" customWidth="1"/>
    <col min="3" max="14" width="12.69921875" style="123" customWidth="1"/>
    <col min="15" max="16384" width="8.69921875" style="123"/>
  </cols>
  <sheetData>
    <row r="1" spans="2:14" ht="14" customHeight="1" x14ac:dyDescent="0.25">
      <c r="B1" s="123" t="s">
        <v>797</v>
      </c>
    </row>
    <row r="2" spans="2:14" ht="14" customHeight="1" x14ac:dyDescent="0.25">
      <c r="B2" s="235">
        <v>2026</v>
      </c>
      <c r="C2" s="235" t="s">
        <v>806</v>
      </c>
      <c r="D2" s="235" t="s">
        <v>807</v>
      </c>
      <c r="E2" s="235" t="s">
        <v>808</v>
      </c>
      <c r="F2" s="235" t="s">
        <v>809</v>
      </c>
      <c r="G2" s="235" t="s">
        <v>810</v>
      </c>
      <c r="H2" s="235" t="s">
        <v>811</v>
      </c>
      <c r="I2" s="235" t="s">
        <v>812</v>
      </c>
      <c r="J2" s="235" t="s">
        <v>813</v>
      </c>
      <c r="K2" s="235" t="s">
        <v>814</v>
      </c>
      <c r="L2" s="235" t="s">
        <v>815</v>
      </c>
      <c r="M2" s="235" t="s">
        <v>816</v>
      </c>
      <c r="N2" s="235" t="s">
        <v>817</v>
      </c>
    </row>
    <row r="3" spans="2:14" ht="14" customHeight="1" x14ac:dyDescent="0.25">
      <c r="B3" s="236" t="s">
        <v>905</v>
      </c>
      <c r="C3" s="237">
        <v>214.9</v>
      </c>
      <c r="D3" s="237">
        <v>239.8</v>
      </c>
      <c r="E3" s="237">
        <v>237.4</v>
      </c>
      <c r="F3" s="237">
        <v>229.7</v>
      </c>
      <c r="G3" s="237">
        <v>225.7</v>
      </c>
      <c r="H3" s="237"/>
      <c r="I3" s="237"/>
      <c r="J3" s="237"/>
      <c r="K3" s="237"/>
      <c r="L3" s="237"/>
      <c r="M3" s="237"/>
      <c r="N3" s="237"/>
    </row>
    <row r="4" spans="2:14" ht="14" customHeight="1" x14ac:dyDescent="0.25">
      <c r="B4" s="236" t="s">
        <v>798</v>
      </c>
      <c r="C4" s="237">
        <v>224.5</v>
      </c>
      <c r="D4" s="237">
        <v>212.9</v>
      </c>
      <c r="E4" s="237">
        <v>217.7</v>
      </c>
      <c r="F4" s="237">
        <v>214.2</v>
      </c>
      <c r="G4" s="237">
        <v>216.2</v>
      </c>
      <c r="H4" s="237"/>
      <c r="I4" s="237"/>
      <c r="J4" s="237"/>
      <c r="K4" s="237"/>
      <c r="L4" s="237"/>
      <c r="M4" s="237"/>
      <c r="N4" s="237"/>
    </row>
    <row r="5" spans="2:14" ht="14" customHeight="1" x14ac:dyDescent="0.25">
      <c r="B5" s="236" t="s">
        <v>801</v>
      </c>
      <c r="C5" s="237">
        <v>140.6</v>
      </c>
      <c r="D5" s="237">
        <v>163.6</v>
      </c>
      <c r="E5" s="237">
        <v>182.9</v>
      </c>
      <c r="F5" s="237">
        <v>195.9</v>
      </c>
      <c r="G5" s="237">
        <v>202.2</v>
      </c>
      <c r="H5" s="237"/>
      <c r="I5" s="237"/>
      <c r="J5" s="237"/>
      <c r="K5" s="237"/>
      <c r="L5" s="237"/>
      <c r="M5" s="237"/>
      <c r="N5" s="237"/>
    </row>
    <row r="6" spans="2:14" ht="14" customHeight="1" x14ac:dyDescent="0.25">
      <c r="B6" s="236" t="s">
        <v>802</v>
      </c>
      <c r="C6" s="237">
        <v>63.6</v>
      </c>
      <c r="D6" s="237">
        <v>65.400000000000006</v>
      </c>
      <c r="E6" s="237">
        <v>65.3</v>
      </c>
      <c r="F6" s="237">
        <v>64.7</v>
      </c>
      <c r="G6" s="237">
        <v>64.2</v>
      </c>
      <c r="H6" s="237"/>
      <c r="I6" s="237"/>
      <c r="J6" s="237"/>
      <c r="K6" s="237"/>
      <c r="L6" s="237"/>
      <c r="M6" s="237"/>
      <c r="N6" s="237"/>
    </row>
    <row r="7" spans="2:14" ht="14" customHeight="1" x14ac:dyDescent="0.25">
      <c r="B7" s="268" t="s">
        <v>906</v>
      </c>
      <c r="C7" s="237">
        <v>60</v>
      </c>
      <c r="D7" s="237">
        <v>59.2</v>
      </c>
      <c r="E7" s="237">
        <v>57.5</v>
      </c>
      <c r="F7" s="237">
        <v>56.4</v>
      </c>
      <c r="G7" s="237">
        <v>52.9</v>
      </c>
      <c r="H7" s="237"/>
      <c r="I7" s="237"/>
      <c r="J7" s="237"/>
      <c r="K7" s="237"/>
      <c r="L7" s="237"/>
      <c r="M7" s="237"/>
      <c r="N7" s="237"/>
    </row>
    <row r="8" spans="2:14" ht="14" customHeight="1" x14ac:dyDescent="0.25">
      <c r="B8" s="236" t="s">
        <v>799</v>
      </c>
      <c r="C8" s="237">
        <v>58.7</v>
      </c>
      <c r="D8" s="237">
        <v>58.7</v>
      </c>
      <c r="E8" s="237">
        <v>65</v>
      </c>
      <c r="F8" s="237">
        <v>78.900000000000006</v>
      </c>
      <c r="G8" s="237">
        <v>78.900000000000006</v>
      </c>
      <c r="H8" s="237"/>
      <c r="I8" s="237"/>
      <c r="J8" s="237"/>
      <c r="K8" s="237"/>
      <c r="L8" s="237"/>
      <c r="M8" s="237"/>
      <c r="N8" s="237"/>
    </row>
    <row r="9" spans="2:14" ht="14" customHeight="1" x14ac:dyDescent="0.25">
      <c r="B9" s="236" t="s">
        <v>804</v>
      </c>
      <c r="C9" s="237">
        <v>37.1</v>
      </c>
      <c r="D9" s="237">
        <v>36.200000000000003</v>
      </c>
      <c r="E9" s="237">
        <v>35.6</v>
      </c>
      <c r="F9" s="237">
        <v>35.799999999999997</v>
      </c>
      <c r="G9" s="237">
        <v>37.5</v>
      </c>
      <c r="H9" s="237"/>
      <c r="I9" s="237"/>
      <c r="J9" s="237"/>
      <c r="K9" s="237"/>
      <c r="L9" s="237"/>
      <c r="M9" s="237"/>
      <c r="N9" s="237"/>
    </row>
    <row r="10" spans="2:14" ht="14" customHeight="1" x14ac:dyDescent="0.25">
      <c r="B10" s="236" t="s">
        <v>805</v>
      </c>
      <c r="C10" s="237">
        <v>34.6</v>
      </c>
      <c r="D10" s="237">
        <v>35.700000000000003</v>
      </c>
      <c r="E10" s="237">
        <v>36.200000000000003</v>
      </c>
      <c r="F10" s="237">
        <v>37.299999999999997</v>
      </c>
      <c r="G10" s="237">
        <v>38.200000000000003</v>
      </c>
      <c r="H10" s="237"/>
      <c r="I10" s="237"/>
      <c r="J10" s="237"/>
      <c r="K10" s="237"/>
      <c r="L10" s="237"/>
      <c r="M10" s="237"/>
      <c r="N10" s="237"/>
    </row>
    <row r="11" spans="2:14" ht="14" customHeight="1" x14ac:dyDescent="0.25">
      <c r="B11" s="236"/>
      <c r="E11" s="123" t="s">
        <v>959</v>
      </c>
    </row>
    <row r="12" spans="2:14" ht="14" customHeight="1" x14ac:dyDescent="0.25">
      <c r="B12" s="235">
        <v>2025</v>
      </c>
      <c r="C12" s="235" t="s">
        <v>806</v>
      </c>
      <c r="D12" s="235" t="s">
        <v>807</v>
      </c>
      <c r="E12" s="235" t="s">
        <v>808</v>
      </c>
      <c r="F12" s="235" t="s">
        <v>809</v>
      </c>
      <c r="G12" s="235" t="s">
        <v>810</v>
      </c>
      <c r="H12" s="235" t="s">
        <v>811</v>
      </c>
      <c r="I12" s="235" t="s">
        <v>812</v>
      </c>
      <c r="J12" s="235" t="s">
        <v>813</v>
      </c>
      <c r="K12" s="235" t="s">
        <v>814</v>
      </c>
      <c r="L12" s="235" t="s">
        <v>815</v>
      </c>
      <c r="M12" s="235" t="s">
        <v>816</v>
      </c>
      <c r="N12" s="235" t="s">
        <v>817</v>
      </c>
    </row>
    <row r="13" spans="2:14" ht="14" customHeight="1" x14ac:dyDescent="0.25">
      <c r="B13" s="236" t="s">
        <v>798</v>
      </c>
      <c r="C13" s="237">
        <v>199.6</v>
      </c>
      <c r="D13" s="237">
        <v>196.3</v>
      </c>
      <c r="E13" s="237">
        <v>198.8</v>
      </c>
      <c r="F13" s="237">
        <v>193</v>
      </c>
      <c r="G13" s="237">
        <v>193.2</v>
      </c>
      <c r="H13" s="237">
        <v>193.3</v>
      </c>
      <c r="I13" s="237">
        <v>190.3</v>
      </c>
      <c r="J13" s="237">
        <v>192.9</v>
      </c>
      <c r="K13" s="237">
        <v>196.2</v>
      </c>
      <c r="L13" s="237">
        <v>195.9</v>
      </c>
      <c r="M13" s="237">
        <v>200.4</v>
      </c>
      <c r="N13" s="237">
        <v>202.3</v>
      </c>
    </row>
    <row r="14" spans="2:14" ht="14" customHeight="1" x14ac:dyDescent="0.25">
      <c r="B14" s="236" t="s">
        <v>799</v>
      </c>
      <c r="C14" s="237">
        <v>90.2</v>
      </c>
      <c r="D14" s="237">
        <v>70.2</v>
      </c>
      <c r="E14" s="237">
        <v>87.6</v>
      </c>
      <c r="F14" s="237">
        <v>88.8</v>
      </c>
      <c r="G14" s="237">
        <v>89.7</v>
      </c>
      <c r="H14" s="237">
        <v>113.9</v>
      </c>
      <c r="I14" s="237">
        <v>111.5</v>
      </c>
      <c r="J14" s="237">
        <v>111.5</v>
      </c>
      <c r="K14" s="237">
        <v>115.7</v>
      </c>
      <c r="L14" s="237">
        <v>115.7</v>
      </c>
      <c r="M14" s="237">
        <v>115.7</v>
      </c>
      <c r="N14" s="237">
        <v>161.80000000000001</v>
      </c>
    </row>
    <row r="15" spans="2:14" ht="14" customHeight="1" x14ac:dyDescent="0.25">
      <c r="B15" s="236" t="s">
        <v>800</v>
      </c>
      <c r="C15" s="237">
        <v>90.4</v>
      </c>
      <c r="D15" s="237">
        <v>87.7</v>
      </c>
      <c r="E15" s="237">
        <v>100.5</v>
      </c>
      <c r="F15" s="237">
        <v>56.7</v>
      </c>
      <c r="G15" s="237">
        <v>61.4</v>
      </c>
      <c r="H15" s="237">
        <v>61.9</v>
      </c>
      <c r="I15" s="237">
        <v>61</v>
      </c>
      <c r="J15" s="237">
        <v>58.4</v>
      </c>
      <c r="K15" s="237">
        <v>59.3</v>
      </c>
      <c r="L15" s="237">
        <v>99</v>
      </c>
      <c r="M15" s="237">
        <v>88</v>
      </c>
      <c r="N15" s="237">
        <v>81.3</v>
      </c>
    </row>
    <row r="16" spans="2:14" ht="14" customHeight="1" x14ac:dyDescent="0.25">
      <c r="B16" s="236" t="s">
        <v>801</v>
      </c>
      <c r="C16" s="237">
        <v>183</v>
      </c>
      <c r="D16" s="237">
        <v>185.9</v>
      </c>
      <c r="E16" s="237">
        <v>181.6</v>
      </c>
      <c r="F16" s="237">
        <v>225.5</v>
      </c>
      <c r="G16" s="237">
        <v>216.6</v>
      </c>
      <c r="H16" s="237">
        <v>204.8</v>
      </c>
      <c r="I16" s="237">
        <v>191.9</v>
      </c>
      <c r="J16" s="237">
        <v>207.1</v>
      </c>
      <c r="K16" s="237">
        <v>207.6</v>
      </c>
      <c r="L16" s="237">
        <v>210</v>
      </c>
      <c r="M16" s="237">
        <v>212.9</v>
      </c>
      <c r="N16" s="237">
        <v>216.5</v>
      </c>
    </row>
    <row r="17" spans="2:14" ht="14" customHeight="1" x14ac:dyDescent="0.25">
      <c r="B17" s="236" t="s">
        <v>802</v>
      </c>
      <c r="C17" s="237">
        <v>53.3</v>
      </c>
      <c r="D17" s="237">
        <v>53.4</v>
      </c>
      <c r="E17" s="237">
        <v>53.8</v>
      </c>
      <c r="F17" s="237">
        <v>53.5</v>
      </c>
      <c r="G17" s="237">
        <v>53.4</v>
      </c>
      <c r="H17" s="237">
        <v>53.7</v>
      </c>
      <c r="I17" s="237">
        <v>54.2</v>
      </c>
      <c r="J17" s="237">
        <v>54.5</v>
      </c>
      <c r="K17" s="237">
        <v>54.8</v>
      </c>
      <c r="L17" s="237">
        <v>55.1</v>
      </c>
      <c r="M17" s="237">
        <v>55.5</v>
      </c>
      <c r="N17" s="237">
        <v>56</v>
      </c>
    </row>
    <row r="18" spans="2:14" ht="14" customHeight="1" x14ac:dyDescent="0.25">
      <c r="B18" s="236" t="s">
        <v>803</v>
      </c>
      <c r="C18" s="237">
        <v>98.5</v>
      </c>
      <c r="D18" s="237">
        <v>98.5</v>
      </c>
      <c r="E18" s="237">
        <v>95.1</v>
      </c>
      <c r="F18" s="237">
        <v>87.8</v>
      </c>
      <c r="G18" s="237">
        <v>78</v>
      </c>
      <c r="H18" s="237">
        <v>85</v>
      </c>
      <c r="I18" s="237">
        <v>85</v>
      </c>
      <c r="J18" s="237">
        <v>84.1</v>
      </c>
      <c r="K18" s="237">
        <v>81.5</v>
      </c>
      <c r="L18" s="237">
        <v>79.599999999999994</v>
      </c>
      <c r="M18" s="237">
        <v>88.7</v>
      </c>
      <c r="N18" s="237">
        <v>83.3</v>
      </c>
    </row>
    <row r="19" spans="2:14" ht="14" customHeight="1" x14ac:dyDescent="0.25">
      <c r="B19" s="236" t="s">
        <v>804</v>
      </c>
      <c r="C19" s="237">
        <v>42.8</v>
      </c>
      <c r="D19" s="237">
        <v>38.200000000000003</v>
      </c>
      <c r="E19" s="237">
        <v>41.2</v>
      </c>
      <c r="F19" s="237">
        <v>26.7</v>
      </c>
      <c r="G19" s="237">
        <v>26.8</v>
      </c>
      <c r="H19" s="237">
        <v>26.1</v>
      </c>
      <c r="I19" s="237">
        <v>28</v>
      </c>
      <c r="J19" s="237">
        <v>29.3</v>
      </c>
      <c r="K19" s="237">
        <v>29.8</v>
      </c>
      <c r="L19" s="237">
        <v>30.5</v>
      </c>
      <c r="M19" s="237">
        <v>31.1</v>
      </c>
      <c r="N19" s="237">
        <v>33</v>
      </c>
    </row>
    <row r="20" spans="2:14" ht="14" customHeight="1" x14ac:dyDescent="0.25">
      <c r="B20" s="236" t="s">
        <v>805</v>
      </c>
      <c r="C20" s="237">
        <v>26.7</v>
      </c>
      <c r="D20" s="237">
        <v>25.8</v>
      </c>
      <c r="E20" s="237">
        <v>25.8</v>
      </c>
      <c r="F20" s="237">
        <v>26.6</v>
      </c>
      <c r="G20" s="237">
        <v>27.2</v>
      </c>
      <c r="H20" s="237">
        <v>27.6</v>
      </c>
      <c r="I20" s="237">
        <v>27.8</v>
      </c>
      <c r="J20" s="237">
        <v>27.7</v>
      </c>
      <c r="K20" s="237">
        <v>28</v>
      </c>
      <c r="L20" s="237">
        <v>28.3</v>
      </c>
      <c r="M20" s="237">
        <v>28.8</v>
      </c>
      <c r="N20" s="237">
        <v>29.3</v>
      </c>
    </row>
    <row r="21" spans="2:14" ht="14" customHeight="1" x14ac:dyDescent="0.25">
      <c r="B21" s="238"/>
    </row>
    <row r="22" spans="2:14" ht="14" customHeight="1" x14ac:dyDescent="0.25">
      <c r="B22" s="235">
        <v>2024</v>
      </c>
      <c r="C22" s="235" t="s">
        <v>806</v>
      </c>
      <c r="D22" s="235" t="s">
        <v>807</v>
      </c>
      <c r="E22" s="235" t="s">
        <v>808</v>
      </c>
      <c r="F22" s="235" t="s">
        <v>809</v>
      </c>
      <c r="G22" s="235" t="s">
        <v>810</v>
      </c>
      <c r="H22" s="235" t="s">
        <v>811</v>
      </c>
      <c r="I22" s="235" t="s">
        <v>812</v>
      </c>
      <c r="J22" s="235" t="s">
        <v>813</v>
      </c>
      <c r="K22" s="235" t="s">
        <v>814</v>
      </c>
      <c r="L22" s="235" t="s">
        <v>815</v>
      </c>
      <c r="M22" s="235" t="s">
        <v>816</v>
      </c>
      <c r="N22" s="235" t="s">
        <v>817</v>
      </c>
    </row>
    <row r="23" spans="2:14" ht="14" customHeight="1" x14ac:dyDescent="0.25">
      <c r="B23" s="236" t="s">
        <v>798</v>
      </c>
      <c r="C23" s="237">
        <v>158</v>
      </c>
      <c r="D23" s="237">
        <v>171.9</v>
      </c>
      <c r="E23" s="237">
        <v>166.5</v>
      </c>
      <c r="F23" s="237">
        <v>169.9</v>
      </c>
      <c r="G23" s="237">
        <v>167.9</v>
      </c>
      <c r="H23" s="237">
        <v>167</v>
      </c>
      <c r="I23" s="237">
        <v>169.6</v>
      </c>
      <c r="J23" s="237">
        <v>171.1</v>
      </c>
      <c r="K23" s="237">
        <v>176.8</v>
      </c>
      <c r="L23" s="237">
        <v>181.2</v>
      </c>
      <c r="M23" s="237">
        <v>185.5</v>
      </c>
      <c r="N23" s="237">
        <v>192.2</v>
      </c>
    </row>
    <row r="24" spans="2:14" ht="14" customHeight="1" x14ac:dyDescent="0.25">
      <c r="B24" s="236" t="s">
        <v>799</v>
      </c>
      <c r="C24" s="237">
        <v>100.3</v>
      </c>
      <c r="D24" s="237">
        <v>105.3</v>
      </c>
      <c r="E24" s="237">
        <v>98.9</v>
      </c>
      <c r="F24" s="237">
        <v>130.19999999999999</v>
      </c>
      <c r="G24" s="237">
        <v>114.6</v>
      </c>
      <c r="H24" s="237">
        <v>119.3</v>
      </c>
      <c r="I24" s="237">
        <v>119.5</v>
      </c>
      <c r="J24" s="237">
        <v>120.2</v>
      </c>
      <c r="K24" s="237">
        <v>120.2</v>
      </c>
      <c r="L24" s="237">
        <v>119.9</v>
      </c>
      <c r="M24" s="237">
        <v>119.6</v>
      </c>
      <c r="N24" s="237">
        <v>122.3</v>
      </c>
    </row>
    <row r="25" spans="2:14" ht="14" customHeight="1" x14ac:dyDescent="0.25">
      <c r="B25" s="236" t="s">
        <v>800</v>
      </c>
      <c r="C25" s="237">
        <v>44.1</v>
      </c>
      <c r="D25" s="237">
        <v>71.400000000000006</v>
      </c>
      <c r="E25" s="237">
        <v>71.900000000000006</v>
      </c>
      <c r="F25" s="237">
        <v>77.400000000000006</v>
      </c>
      <c r="G25" s="237">
        <v>73</v>
      </c>
      <c r="H25" s="237">
        <v>77.3</v>
      </c>
      <c r="I25" s="237">
        <v>80.900000000000006</v>
      </c>
      <c r="J25" s="237">
        <v>78.3</v>
      </c>
      <c r="K25" s="237">
        <v>80.3</v>
      </c>
      <c r="L25" s="237">
        <v>83.2</v>
      </c>
      <c r="M25" s="237">
        <v>86.2</v>
      </c>
      <c r="N25" s="237">
        <v>88.7</v>
      </c>
    </row>
    <row r="26" spans="2:14" ht="14" customHeight="1" x14ac:dyDescent="0.25">
      <c r="B26" s="236" t="s">
        <v>801</v>
      </c>
      <c r="C26" s="237">
        <v>97.4</v>
      </c>
      <c r="D26" s="237">
        <v>105.9</v>
      </c>
      <c r="E26" s="237">
        <v>101.2</v>
      </c>
      <c r="F26" s="237">
        <v>89</v>
      </c>
      <c r="G26" s="237">
        <v>95.2</v>
      </c>
      <c r="H26" s="237">
        <v>98.1</v>
      </c>
      <c r="I26" s="237">
        <v>100.7</v>
      </c>
      <c r="J26" s="237">
        <v>103.6</v>
      </c>
      <c r="K26" s="237">
        <v>107.7</v>
      </c>
      <c r="L26" s="237">
        <v>111.5</v>
      </c>
      <c r="M26" s="237">
        <v>114.7</v>
      </c>
      <c r="N26" s="237">
        <v>119.9</v>
      </c>
    </row>
    <row r="27" spans="2:14" ht="14" customHeight="1" x14ac:dyDescent="0.25">
      <c r="B27" s="236" t="s">
        <v>802</v>
      </c>
      <c r="C27" s="237">
        <v>52.1</v>
      </c>
      <c r="D27" s="237">
        <v>58.5</v>
      </c>
      <c r="E27" s="237">
        <v>58.4</v>
      </c>
      <c r="F27" s="237">
        <v>58.9</v>
      </c>
      <c r="G27" s="237">
        <v>57.2</v>
      </c>
      <c r="H27" s="237">
        <v>57.5</v>
      </c>
      <c r="I27" s="237">
        <v>57.7</v>
      </c>
      <c r="J27" s="237">
        <v>57.7</v>
      </c>
      <c r="K27" s="237">
        <v>57.4</v>
      </c>
      <c r="L27" s="237">
        <v>56.9</v>
      </c>
      <c r="M27" s="237">
        <v>56.6</v>
      </c>
      <c r="N27" s="237">
        <v>56.6</v>
      </c>
    </row>
    <row r="28" spans="2:14" ht="14" customHeight="1" x14ac:dyDescent="0.25">
      <c r="B28" s="236" t="s">
        <v>803</v>
      </c>
      <c r="C28" s="237" t="s">
        <v>321</v>
      </c>
      <c r="D28" s="237" t="s">
        <v>321</v>
      </c>
      <c r="E28" s="237" t="s">
        <v>321</v>
      </c>
      <c r="F28" s="237" t="s">
        <v>321</v>
      </c>
      <c r="G28" s="237" t="s">
        <v>321</v>
      </c>
      <c r="H28" s="237">
        <v>50.5</v>
      </c>
      <c r="I28" s="237">
        <v>49.8</v>
      </c>
      <c r="J28" s="237">
        <v>49.9</v>
      </c>
      <c r="K28" s="237">
        <v>48.8</v>
      </c>
      <c r="L28" s="237">
        <v>48.8</v>
      </c>
      <c r="M28" s="237">
        <v>49.2</v>
      </c>
      <c r="N28" s="237">
        <v>69</v>
      </c>
    </row>
    <row r="29" spans="2:14" ht="14" customHeight="1" x14ac:dyDescent="0.25">
      <c r="B29" s="236" t="s">
        <v>804</v>
      </c>
      <c r="C29" s="237">
        <v>30.4</v>
      </c>
      <c r="D29" s="237">
        <v>30.8</v>
      </c>
      <c r="E29" s="237">
        <v>26.9</v>
      </c>
      <c r="F29" s="237">
        <v>32.299999999999997</v>
      </c>
      <c r="G29" s="237">
        <v>30.9</v>
      </c>
      <c r="H29" s="237">
        <v>31.8</v>
      </c>
      <c r="I29" s="237">
        <v>32.200000000000003</v>
      </c>
      <c r="J29" s="237">
        <v>30.7</v>
      </c>
      <c r="K29" s="237">
        <v>30</v>
      </c>
      <c r="L29" s="237">
        <v>30.5</v>
      </c>
      <c r="M29" s="237">
        <v>31.2</v>
      </c>
      <c r="N29" s="237">
        <v>32.299999999999997</v>
      </c>
    </row>
    <row r="30" spans="2:14" ht="14" customHeight="1" x14ac:dyDescent="0.25">
      <c r="B30" s="236" t="s">
        <v>805</v>
      </c>
      <c r="C30" s="237">
        <v>28.8</v>
      </c>
      <c r="D30" s="237">
        <v>28.8</v>
      </c>
      <c r="E30" s="237">
        <v>26</v>
      </c>
      <c r="F30" s="237">
        <v>23.6</v>
      </c>
      <c r="G30" s="237">
        <v>25.7</v>
      </c>
      <c r="H30" s="237">
        <v>25.3</v>
      </c>
      <c r="I30" s="237">
        <v>25.2</v>
      </c>
      <c r="J30" s="237">
        <v>25.1</v>
      </c>
      <c r="K30" s="237">
        <v>25</v>
      </c>
      <c r="L30" s="237">
        <v>24.7</v>
      </c>
      <c r="M30" s="237">
        <v>24.5</v>
      </c>
      <c r="N30" s="237">
        <v>24.5</v>
      </c>
    </row>
    <row r="31" spans="2:14" ht="14" customHeight="1" x14ac:dyDescent="0.25">
      <c r="B31" s="239"/>
    </row>
    <row r="32" spans="2:14" ht="14" customHeight="1" x14ac:dyDescent="0.25">
      <c r="B32" s="235">
        <v>2023</v>
      </c>
      <c r="C32" s="235" t="s">
        <v>806</v>
      </c>
      <c r="D32" s="235" t="s">
        <v>807</v>
      </c>
      <c r="E32" s="235" t="s">
        <v>808</v>
      </c>
      <c r="F32" s="235" t="s">
        <v>809</v>
      </c>
      <c r="G32" s="235" t="s">
        <v>810</v>
      </c>
      <c r="H32" s="235" t="s">
        <v>811</v>
      </c>
      <c r="I32" s="235" t="s">
        <v>812</v>
      </c>
      <c r="J32" s="235" t="s">
        <v>813</v>
      </c>
      <c r="K32" s="235" t="s">
        <v>814</v>
      </c>
      <c r="L32" s="235" t="s">
        <v>815</v>
      </c>
      <c r="M32" s="235" t="s">
        <v>816</v>
      </c>
      <c r="N32" s="235" t="s">
        <v>817</v>
      </c>
    </row>
    <row r="33" spans="2:14" ht="14" customHeight="1" x14ac:dyDescent="0.25">
      <c r="B33" s="236" t="s">
        <v>798</v>
      </c>
      <c r="C33" s="237">
        <v>109.2</v>
      </c>
      <c r="D33" s="237">
        <v>168.2</v>
      </c>
      <c r="E33" s="237">
        <v>139.1</v>
      </c>
      <c r="F33" s="237">
        <v>179.6</v>
      </c>
      <c r="G33" s="237">
        <v>181</v>
      </c>
      <c r="H33" s="237">
        <v>196.5</v>
      </c>
      <c r="I33" s="237">
        <v>205</v>
      </c>
      <c r="J33" s="237">
        <v>181.6</v>
      </c>
      <c r="K33" s="237">
        <v>185</v>
      </c>
      <c r="L33" s="237">
        <v>171.4</v>
      </c>
      <c r="M33" s="237">
        <v>183.2</v>
      </c>
      <c r="N33" s="237">
        <v>185.5</v>
      </c>
    </row>
    <row r="34" spans="2:14" ht="14" customHeight="1" x14ac:dyDescent="0.25">
      <c r="B34" s="236" t="s">
        <v>799</v>
      </c>
      <c r="C34" s="237">
        <v>105.3</v>
      </c>
      <c r="D34" s="237">
        <v>143.6</v>
      </c>
      <c r="E34" s="237">
        <v>116.3</v>
      </c>
      <c r="F34" s="237">
        <v>111.3</v>
      </c>
      <c r="G34" s="237">
        <v>110.7</v>
      </c>
      <c r="H34" s="237">
        <v>110.8</v>
      </c>
      <c r="I34" s="237">
        <v>104.4</v>
      </c>
      <c r="J34" s="237">
        <v>117</v>
      </c>
      <c r="K34" s="237">
        <v>115.4</v>
      </c>
      <c r="L34" s="237">
        <v>115.5</v>
      </c>
      <c r="M34" s="237">
        <v>149.19999999999999</v>
      </c>
      <c r="N34" s="237">
        <v>118.3</v>
      </c>
    </row>
    <row r="35" spans="2:14" ht="14" customHeight="1" x14ac:dyDescent="0.25">
      <c r="B35" s="236" t="s">
        <v>800</v>
      </c>
      <c r="C35" s="237">
        <v>105.8</v>
      </c>
      <c r="D35" s="237">
        <v>85.8</v>
      </c>
      <c r="E35" s="237">
        <v>33.5</v>
      </c>
      <c r="F35" s="237">
        <v>99</v>
      </c>
      <c r="G35" s="237">
        <v>72.099999999999994</v>
      </c>
      <c r="H35" s="237">
        <v>81.099999999999994</v>
      </c>
      <c r="I35" s="237">
        <v>75</v>
      </c>
      <c r="J35" s="237">
        <v>72.8</v>
      </c>
      <c r="K35" s="237">
        <v>73.099999999999994</v>
      </c>
      <c r="L35" s="237">
        <v>76.8</v>
      </c>
      <c r="M35" s="237">
        <v>90.6</v>
      </c>
      <c r="N35" s="237">
        <v>73.400000000000006</v>
      </c>
    </row>
    <row r="36" spans="2:14" ht="14" customHeight="1" x14ac:dyDescent="0.25">
      <c r="B36" s="236" t="s">
        <v>801</v>
      </c>
      <c r="C36" s="237">
        <v>80.7</v>
      </c>
      <c r="D36" s="237">
        <v>58.5</v>
      </c>
      <c r="E36" s="237">
        <v>67.900000000000006</v>
      </c>
      <c r="F36" s="237">
        <v>69.400000000000006</v>
      </c>
      <c r="G36" s="237">
        <v>72.599999999999994</v>
      </c>
      <c r="H36" s="237">
        <v>89.7</v>
      </c>
      <c r="I36" s="237">
        <v>55.4</v>
      </c>
      <c r="J36" s="237">
        <v>70.7</v>
      </c>
      <c r="K36" s="237">
        <v>71.3</v>
      </c>
      <c r="L36" s="237">
        <v>58.7</v>
      </c>
      <c r="M36" s="237">
        <v>81.5</v>
      </c>
      <c r="N36" s="237">
        <v>75.8</v>
      </c>
    </row>
    <row r="37" spans="2:14" ht="14" customHeight="1" x14ac:dyDescent="0.25">
      <c r="B37" s="236" t="s">
        <v>802</v>
      </c>
      <c r="C37" s="237">
        <v>55.5</v>
      </c>
      <c r="D37" s="237">
        <v>57</v>
      </c>
      <c r="E37" s="237">
        <v>55.6</v>
      </c>
      <c r="F37" s="237">
        <v>54.5</v>
      </c>
      <c r="G37" s="237">
        <v>55.3</v>
      </c>
      <c r="H37" s="237">
        <v>54.7</v>
      </c>
      <c r="I37" s="237">
        <v>53.2</v>
      </c>
      <c r="J37" s="237">
        <v>55.5</v>
      </c>
      <c r="K37" s="237">
        <v>55.5</v>
      </c>
      <c r="L37" s="237">
        <v>53.7</v>
      </c>
      <c r="M37" s="237">
        <v>78.599999999999994</v>
      </c>
      <c r="N37" s="237">
        <v>54.8</v>
      </c>
    </row>
    <row r="38" spans="2:14" ht="14" customHeight="1" x14ac:dyDescent="0.25">
      <c r="B38" s="236" t="s">
        <v>803</v>
      </c>
      <c r="C38" s="237">
        <v>46.9</v>
      </c>
      <c r="D38" s="237">
        <v>50.4</v>
      </c>
      <c r="E38" s="237">
        <v>49.7</v>
      </c>
      <c r="F38" s="237">
        <v>50.3</v>
      </c>
      <c r="G38" s="237" t="s">
        <v>321</v>
      </c>
      <c r="H38" s="237">
        <v>50.5</v>
      </c>
      <c r="I38" s="237">
        <v>46.8</v>
      </c>
      <c r="J38" s="237">
        <v>48.7</v>
      </c>
      <c r="K38" s="237">
        <v>48.8</v>
      </c>
      <c r="L38" s="237">
        <v>50.5</v>
      </c>
      <c r="M38" s="237">
        <v>53.8</v>
      </c>
      <c r="N38" s="237">
        <v>58.5</v>
      </c>
    </row>
    <row r="39" spans="2:14" ht="14" customHeight="1" x14ac:dyDescent="0.25">
      <c r="B39" s="236" t="s">
        <v>804</v>
      </c>
      <c r="C39" s="237">
        <v>28.6</v>
      </c>
      <c r="D39" s="237">
        <v>20.9</v>
      </c>
      <c r="E39" s="237">
        <v>21.5</v>
      </c>
      <c r="F39" s="237">
        <v>20</v>
      </c>
      <c r="G39" s="237">
        <v>20.6</v>
      </c>
      <c r="H39" s="237">
        <v>34.5</v>
      </c>
      <c r="I39" s="237">
        <v>23.8</v>
      </c>
      <c r="J39" s="237">
        <v>24.8</v>
      </c>
      <c r="K39" s="237">
        <v>24.9</v>
      </c>
      <c r="L39" s="237">
        <v>26.2</v>
      </c>
      <c r="M39" s="237">
        <v>27.3</v>
      </c>
      <c r="N39" s="237">
        <v>22.9</v>
      </c>
    </row>
    <row r="40" spans="2:14" ht="14" customHeight="1" x14ac:dyDescent="0.25">
      <c r="B40" s="236" t="s">
        <v>805</v>
      </c>
      <c r="C40" s="237">
        <v>24.2</v>
      </c>
      <c r="D40" s="237">
        <v>24.8</v>
      </c>
      <c r="E40" s="237">
        <v>25.4</v>
      </c>
      <c r="F40" s="237">
        <v>25.9</v>
      </c>
      <c r="G40" s="237">
        <v>25.2</v>
      </c>
      <c r="H40" s="237">
        <v>25.3</v>
      </c>
      <c r="I40" s="237">
        <v>20.5</v>
      </c>
      <c r="J40" s="237">
        <v>23.8</v>
      </c>
      <c r="K40" s="237">
        <v>22.8</v>
      </c>
      <c r="L40" s="237">
        <v>23.2</v>
      </c>
      <c r="M40" s="237">
        <v>18.8</v>
      </c>
      <c r="N40" s="237">
        <v>25.6</v>
      </c>
    </row>
    <row r="41" spans="2:14" ht="14" customHeight="1" x14ac:dyDescent="0.25">
      <c r="B41" s="239"/>
    </row>
    <row r="42" spans="2:14" ht="14" customHeight="1" x14ac:dyDescent="0.25">
      <c r="B42" s="235">
        <v>2022</v>
      </c>
      <c r="C42" s="235" t="s">
        <v>806</v>
      </c>
      <c r="D42" s="235" t="s">
        <v>807</v>
      </c>
      <c r="E42" s="235" t="s">
        <v>808</v>
      </c>
      <c r="F42" s="235" t="s">
        <v>809</v>
      </c>
      <c r="G42" s="235" t="s">
        <v>810</v>
      </c>
      <c r="H42" s="235" t="s">
        <v>811</v>
      </c>
      <c r="I42" s="235" t="s">
        <v>812</v>
      </c>
      <c r="J42" s="235" t="s">
        <v>813</v>
      </c>
      <c r="K42" s="235" t="s">
        <v>814</v>
      </c>
      <c r="L42" s="235" t="s">
        <v>815</v>
      </c>
      <c r="M42" s="235" t="s">
        <v>816</v>
      </c>
      <c r="N42" s="235" t="s">
        <v>817</v>
      </c>
    </row>
    <row r="43" spans="2:14" ht="14" customHeight="1" x14ac:dyDescent="0.25">
      <c r="B43" s="236" t="s">
        <v>798</v>
      </c>
      <c r="C43" s="240">
        <v>196.2</v>
      </c>
      <c r="D43" s="240">
        <v>203.8</v>
      </c>
      <c r="E43" s="241">
        <v>242.5</v>
      </c>
      <c r="F43" s="240">
        <v>193.6</v>
      </c>
      <c r="G43" s="240">
        <v>190.4</v>
      </c>
      <c r="H43" s="240">
        <v>222.4</v>
      </c>
      <c r="I43" s="240">
        <v>217.4</v>
      </c>
      <c r="J43" s="240">
        <v>218.5</v>
      </c>
      <c r="K43" s="240">
        <v>218.4</v>
      </c>
      <c r="L43" s="240">
        <v>214.9</v>
      </c>
      <c r="M43" s="240">
        <v>202.3</v>
      </c>
      <c r="N43" s="240">
        <v>218</v>
      </c>
    </row>
    <row r="44" spans="2:14" ht="14" customHeight="1" x14ac:dyDescent="0.25">
      <c r="B44" s="236" t="s">
        <v>799</v>
      </c>
      <c r="C44" s="240">
        <v>136.01</v>
      </c>
      <c r="D44" s="240" t="s">
        <v>321</v>
      </c>
      <c r="E44" s="241">
        <v>84.1</v>
      </c>
      <c r="F44" s="240">
        <v>102.2</v>
      </c>
      <c r="G44" s="240">
        <v>116.7</v>
      </c>
      <c r="H44" s="240">
        <v>114.2</v>
      </c>
      <c r="I44" s="240">
        <v>117.1</v>
      </c>
      <c r="J44" s="240">
        <v>107.3</v>
      </c>
      <c r="K44" s="240">
        <v>97.8</v>
      </c>
      <c r="L44" s="240">
        <v>101.1</v>
      </c>
      <c r="M44" s="240">
        <v>85.9</v>
      </c>
      <c r="N44" s="240">
        <v>87.3</v>
      </c>
    </row>
    <row r="45" spans="2:14" ht="14" customHeight="1" x14ac:dyDescent="0.25">
      <c r="B45" s="236" t="s">
        <v>800</v>
      </c>
      <c r="C45" s="240">
        <v>105.66</v>
      </c>
      <c r="D45" s="240">
        <v>36.799999999999997</v>
      </c>
      <c r="E45" s="241">
        <v>113.8</v>
      </c>
      <c r="F45" s="240">
        <v>112.1</v>
      </c>
      <c r="G45" s="240">
        <v>74.5</v>
      </c>
      <c r="H45" s="240">
        <v>75.2</v>
      </c>
      <c r="I45" s="240">
        <v>33.6</v>
      </c>
      <c r="J45" s="240">
        <v>90.2</v>
      </c>
      <c r="K45" s="240">
        <v>73.099999999999994</v>
      </c>
      <c r="L45" s="240">
        <v>112.4</v>
      </c>
      <c r="M45" s="240">
        <v>93.7</v>
      </c>
      <c r="N45" s="240">
        <v>84.9</v>
      </c>
    </row>
    <row r="46" spans="2:14" ht="14" customHeight="1" x14ac:dyDescent="0.25">
      <c r="B46" s="236" t="s">
        <v>801</v>
      </c>
      <c r="C46" s="240">
        <v>85.51</v>
      </c>
      <c r="D46" s="240">
        <v>80.599999999999994</v>
      </c>
      <c r="E46" s="241">
        <v>83.1</v>
      </c>
      <c r="F46" s="240">
        <v>69</v>
      </c>
      <c r="G46" s="240">
        <v>73.2</v>
      </c>
      <c r="H46" s="240">
        <v>71.7</v>
      </c>
      <c r="I46" s="240">
        <v>67.900000000000006</v>
      </c>
      <c r="J46" s="240">
        <v>77</v>
      </c>
      <c r="K46" s="240">
        <v>67.099999999999994</v>
      </c>
      <c r="L46" s="240">
        <v>65.599999999999994</v>
      </c>
      <c r="M46" s="240">
        <v>62.2</v>
      </c>
      <c r="N46" s="240">
        <v>82.6</v>
      </c>
    </row>
    <row r="47" spans="2:14" ht="14" customHeight="1" x14ac:dyDescent="0.25">
      <c r="B47" s="236" t="s">
        <v>802</v>
      </c>
      <c r="C47" s="240">
        <v>50.16</v>
      </c>
      <c r="D47" s="240">
        <v>48.8</v>
      </c>
      <c r="E47" s="241">
        <v>48.4</v>
      </c>
      <c r="F47" s="240">
        <v>45.6</v>
      </c>
      <c r="G47" s="240">
        <v>49.7</v>
      </c>
      <c r="H47" s="240">
        <v>52.9</v>
      </c>
      <c r="I47" s="240">
        <v>50.3</v>
      </c>
      <c r="J47" s="240">
        <v>49.9</v>
      </c>
      <c r="K47" s="240">
        <v>51.5</v>
      </c>
      <c r="L47" s="240">
        <v>53.1</v>
      </c>
      <c r="M47" s="240">
        <v>53.2</v>
      </c>
      <c r="N47" s="240">
        <v>53.5</v>
      </c>
    </row>
    <row r="48" spans="2:14" ht="14" customHeight="1" x14ac:dyDescent="0.25">
      <c r="B48" s="236" t="s">
        <v>803</v>
      </c>
      <c r="C48" s="240">
        <v>38.64</v>
      </c>
      <c r="D48" s="240">
        <v>34.9</v>
      </c>
      <c r="E48" s="241">
        <v>38.6</v>
      </c>
      <c r="F48" s="240">
        <v>56</v>
      </c>
      <c r="G48" s="240">
        <v>38.6</v>
      </c>
      <c r="H48" s="240">
        <v>33.6</v>
      </c>
      <c r="I48" s="240" t="s">
        <v>321</v>
      </c>
      <c r="J48" s="240" t="s">
        <v>321</v>
      </c>
      <c r="K48" s="240">
        <v>50.4</v>
      </c>
      <c r="L48" s="240">
        <v>50.5</v>
      </c>
      <c r="M48" s="240">
        <v>51.8</v>
      </c>
      <c r="N48" s="240">
        <v>52.5</v>
      </c>
    </row>
    <row r="49" spans="2:14" ht="14" customHeight="1" x14ac:dyDescent="0.25">
      <c r="B49" s="236" t="s">
        <v>804</v>
      </c>
      <c r="C49" s="240">
        <v>47.24</v>
      </c>
      <c r="D49" s="240">
        <v>31</v>
      </c>
      <c r="E49" s="241">
        <v>30</v>
      </c>
      <c r="F49" s="240">
        <v>36.6</v>
      </c>
      <c r="G49" s="240">
        <v>42.9</v>
      </c>
      <c r="H49" s="240">
        <v>48.3</v>
      </c>
      <c r="I49" s="240">
        <v>46.6</v>
      </c>
      <c r="J49" s="240">
        <v>23.2</v>
      </c>
      <c r="K49" s="240">
        <v>41.3</v>
      </c>
      <c r="L49" s="240">
        <v>51</v>
      </c>
      <c r="M49" s="240">
        <v>48.2</v>
      </c>
      <c r="N49" s="240">
        <v>50.1</v>
      </c>
    </row>
    <row r="50" spans="2:14" ht="14" customHeight="1" x14ac:dyDescent="0.25">
      <c r="B50" s="236" t="s">
        <v>805</v>
      </c>
      <c r="C50" s="240">
        <v>20.7</v>
      </c>
      <c r="D50" s="240">
        <v>20.399999999999999</v>
      </c>
      <c r="E50" s="241">
        <v>21.1</v>
      </c>
      <c r="F50" s="240">
        <v>19.8</v>
      </c>
      <c r="G50" s="240">
        <v>20.7</v>
      </c>
      <c r="H50" s="240">
        <v>19.899999999999999</v>
      </c>
      <c r="I50" s="240">
        <v>20.2</v>
      </c>
      <c r="J50" s="240">
        <v>19.399999999999999</v>
      </c>
      <c r="K50" s="240">
        <v>20.8</v>
      </c>
      <c r="L50" s="240">
        <v>22.1</v>
      </c>
      <c r="M50" s="240">
        <v>22.9</v>
      </c>
      <c r="N50" s="240">
        <v>24.6</v>
      </c>
    </row>
    <row r="51" spans="2:14" ht="14" customHeight="1" x14ac:dyDescent="0.25">
      <c r="B51" s="239"/>
    </row>
    <row r="52" spans="2:14" ht="14" customHeight="1" x14ac:dyDescent="0.25">
      <c r="B52" s="235">
        <v>2021</v>
      </c>
      <c r="C52" s="235" t="s">
        <v>806</v>
      </c>
      <c r="D52" s="235" t="s">
        <v>807</v>
      </c>
      <c r="E52" s="235" t="s">
        <v>808</v>
      </c>
      <c r="F52" s="235" t="s">
        <v>809</v>
      </c>
      <c r="G52" s="235" t="s">
        <v>810</v>
      </c>
      <c r="H52" s="235" t="s">
        <v>811</v>
      </c>
      <c r="I52" s="235" t="s">
        <v>812</v>
      </c>
      <c r="J52" s="235" t="s">
        <v>813</v>
      </c>
      <c r="K52" s="235" t="s">
        <v>814</v>
      </c>
      <c r="L52" s="235" t="s">
        <v>815</v>
      </c>
      <c r="M52" s="235" t="s">
        <v>816</v>
      </c>
      <c r="N52" s="235" t="s">
        <v>817</v>
      </c>
    </row>
    <row r="53" spans="2:14" ht="14" customHeight="1" x14ac:dyDescent="0.25">
      <c r="B53" s="236" t="s">
        <v>798</v>
      </c>
      <c r="C53" s="240">
        <v>198.9</v>
      </c>
      <c r="D53" s="240">
        <v>205.2</v>
      </c>
      <c r="E53" s="242"/>
      <c r="F53" s="240">
        <v>217.4</v>
      </c>
      <c r="G53" s="240">
        <v>234.1</v>
      </c>
      <c r="H53" s="240">
        <v>211.8</v>
      </c>
      <c r="I53" s="240">
        <v>207</v>
      </c>
      <c r="J53" s="243">
        <v>199.1</v>
      </c>
      <c r="K53" s="244">
        <v>228.7</v>
      </c>
      <c r="L53" s="243">
        <v>233.1</v>
      </c>
      <c r="M53" s="243">
        <v>224.6</v>
      </c>
      <c r="N53" s="243">
        <v>197.7</v>
      </c>
    </row>
    <row r="54" spans="2:14" ht="14" customHeight="1" x14ac:dyDescent="0.25">
      <c r="B54" s="236" t="s">
        <v>799</v>
      </c>
      <c r="C54" s="240">
        <v>104.6</v>
      </c>
      <c r="D54" s="240">
        <v>81.900000000000006</v>
      </c>
      <c r="E54" s="242"/>
      <c r="F54" s="240">
        <v>106.1</v>
      </c>
      <c r="G54" s="240">
        <v>90.4</v>
      </c>
      <c r="H54" s="240">
        <v>88.4</v>
      </c>
      <c r="I54" s="242">
        <v>98.3</v>
      </c>
      <c r="J54" s="243">
        <v>99.3</v>
      </c>
      <c r="K54" s="244">
        <v>90</v>
      </c>
      <c r="L54" s="243">
        <v>60.1</v>
      </c>
      <c r="M54" s="243">
        <v>100</v>
      </c>
      <c r="N54" s="243">
        <v>112.4</v>
      </c>
    </row>
    <row r="55" spans="2:14" ht="14" customHeight="1" x14ac:dyDescent="0.25">
      <c r="B55" s="236" t="s">
        <v>800</v>
      </c>
      <c r="C55" s="240">
        <v>127.7</v>
      </c>
      <c r="D55" s="240"/>
      <c r="E55" s="242"/>
      <c r="F55" s="240">
        <v>124.4</v>
      </c>
      <c r="G55" s="240">
        <v>85.9</v>
      </c>
      <c r="H55" s="240">
        <v>98.7</v>
      </c>
      <c r="I55" s="240">
        <v>104.7</v>
      </c>
      <c r="J55" s="244">
        <v>75.599999999999994</v>
      </c>
      <c r="K55" s="244">
        <v>81.5</v>
      </c>
      <c r="L55" s="243">
        <v>76.599999999999994</v>
      </c>
      <c r="M55" s="245">
        <v>110.6</v>
      </c>
      <c r="N55" s="243">
        <v>93.3</v>
      </c>
    </row>
    <row r="56" spans="2:14" ht="14" customHeight="1" x14ac:dyDescent="0.25">
      <c r="B56" s="236" t="s">
        <v>801</v>
      </c>
      <c r="C56" s="240">
        <v>67.900000000000006</v>
      </c>
      <c r="D56" s="240">
        <v>56.7</v>
      </c>
      <c r="E56" s="242"/>
      <c r="F56" s="240">
        <v>49.8</v>
      </c>
      <c r="G56" s="240">
        <v>64.400000000000006</v>
      </c>
      <c r="H56" s="240">
        <v>75</v>
      </c>
      <c r="I56" s="240">
        <v>74.3</v>
      </c>
      <c r="J56" s="243">
        <v>77.599999999999994</v>
      </c>
      <c r="K56" s="244">
        <v>70.8</v>
      </c>
      <c r="L56" s="243">
        <v>74.5</v>
      </c>
      <c r="M56" s="243">
        <v>72.5</v>
      </c>
      <c r="N56" s="243">
        <v>84</v>
      </c>
    </row>
    <row r="57" spans="2:14" ht="14" customHeight="1" x14ac:dyDescent="0.25">
      <c r="B57" s="236" t="s">
        <v>802</v>
      </c>
      <c r="C57" s="240">
        <v>45.2</v>
      </c>
      <c r="D57" s="240">
        <v>48</v>
      </c>
      <c r="E57" s="242"/>
      <c r="F57" s="240">
        <v>48.1</v>
      </c>
      <c r="G57" s="240">
        <v>50.4</v>
      </c>
      <c r="H57" s="240">
        <v>48.4</v>
      </c>
      <c r="I57" s="240">
        <v>48.4</v>
      </c>
      <c r="J57" s="243">
        <v>46.7</v>
      </c>
      <c r="K57" s="244">
        <v>49.9</v>
      </c>
      <c r="L57" s="243">
        <v>47.6</v>
      </c>
      <c r="M57" s="243">
        <v>49.4</v>
      </c>
      <c r="N57" s="243">
        <v>48.6</v>
      </c>
    </row>
    <row r="58" spans="2:14" ht="14" customHeight="1" x14ac:dyDescent="0.25">
      <c r="B58" s="236" t="s">
        <v>803</v>
      </c>
      <c r="C58" s="240">
        <v>42.4</v>
      </c>
      <c r="D58" s="240"/>
      <c r="E58" s="242"/>
      <c r="F58" s="240">
        <v>50.1</v>
      </c>
      <c r="G58" s="240">
        <v>54.2</v>
      </c>
      <c r="H58" s="240">
        <v>40.4</v>
      </c>
      <c r="I58" s="240">
        <v>39.700000000000003</v>
      </c>
      <c r="J58" s="243">
        <v>49.9</v>
      </c>
      <c r="K58" s="242" t="s">
        <v>31</v>
      </c>
      <c r="L58" s="243">
        <v>30.1</v>
      </c>
      <c r="M58" s="243">
        <v>50.1</v>
      </c>
      <c r="N58" s="243">
        <v>52.4</v>
      </c>
    </row>
    <row r="59" spans="2:14" ht="14" customHeight="1" x14ac:dyDescent="0.25">
      <c r="B59" s="236" t="s">
        <v>804</v>
      </c>
      <c r="C59" s="240">
        <v>37.6</v>
      </c>
      <c r="D59" s="240">
        <v>29.2</v>
      </c>
      <c r="E59" s="242"/>
      <c r="F59" s="240">
        <v>52</v>
      </c>
      <c r="G59" s="240">
        <v>39.6</v>
      </c>
      <c r="H59" s="240">
        <v>22.7</v>
      </c>
      <c r="I59" s="240">
        <v>41.1</v>
      </c>
      <c r="J59" s="243">
        <v>43.2</v>
      </c>
      <c r="K59" s="244">
        <v>45.5</v>
      </c>
      <c r="L59" s="244">
        <v>44.2</v>
      </c>
      <c r="M59" s="243">
        <v>42.4</v>
      </c>
      <c r="N59" s="244">
        <v>45.5</v>
      </c>
    </row>
    <row r="60" spans="2:14" ht="14" customHeight="1" x14ac:dyDescent="0.25">
      <c r="B60" s="236" t="s">
        <v>805</v>
      </c>
      <c r="C60" s="240">
        <v>20.3</v>
      </c>
      <c r="D60" s="240">
        <v>18.3</v>
      </c>
      <c r="E60" s="242"/>
      <c r="F60" s="240">
        <v>17.7</v>
      </c>
      <c r="G60" s="240">
        <v>18</v>
      </c>
      <c r="H60" s="240">
        <v>19.899999999999999</v>
      </c>
      <c r="I60" s="240">
        <v>19.600000000000001</v>
      </c>
      <c r="J60" s="243">
        <v>19.8</v>
      </c>
      <c r="K60" s="244">
        <v>19.7</v>
      </c>
      <c r="L60" s="243">
        <v>19.600000000000001</v>
      </c>
      <c r="M60" s="244">
        <v>20</v>
      </c>
      <c r="N60" s="243">
        <v>20.6</v>
      </c>
    </row>
    <row r="61" spans="2:14" ht="14" customHeight="1" x14ac:dyDescent="0.25">
      <c r="B61" s="239"/>
    </row>
    <row r="62" spans="2:14" ht="14" customHeight="1" x14ac:dyDescent="0.25">
      <c r="B62" s="239"/>
    </row>
    <row r="63" spans="2:14" ht="14" customHeight="1" x14ac:dyDescent="0.25">
      <c r="B63" s="239"/>
    </row>
  </sheetData>
  <sortState xmlns:xlrd2="http://schemas.microsoft.com/office/spreadsheetml/2017/richdata2" ref="B3:D10">
    <sortCondition descending="1" ref="D3:D10"/>
  </sortState>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首页</vt:lpstr>
      <vt:lpstr>全球&amp;中国动力电池装机规模-年度</vt:lpstr>
      <vt:lpstr>全球&amp;中国动力电池企业装机量排名-年度</vt:lpstr>
      <vt:lpstr>全球&amp;中国动力电池行业装机规模-月度</vt:lpstr>
      <vt:lpstr>全球动力电池企业装机量排名-月度</vt:lpstr>
      <vt:lpstr>海外动力电池企业装机量排名-月度</vt:lpstr>
      <vt:lpstr>中国动力电池企业装机量排名-月度</vt:lpstr>
      <vt:lpstr>中国锂电池产量规模</vt:lpstr>
      <vt:lpstr>中国新能源单车平均带电量</vt:lpstr>
      <vt:lpstr>风险提示</vt:lpstr>
      <vt:lpstr>重要声明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dc:creator>
  <cp:lastModifiedBy>Vicky Lee</cp:lastModifiedBy>
  <dcterms:created xsi:type="dcterms:W3CDTF">2015-06-16T06:20:00Z</dcterms:created>
  <dcterms:modified xsi:type="dcterms:W3CDTF">2026-06-18T16:55:44Z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cb70e33b</vt:lpwstr>
  </property>
  <property fmtid="{D5CDD505-2E9C-101B-9397-08002B2CF9AE}" pid="3" name="ICV">
    <vt:lpwstr>181C0991082C44C99A802C876CCA83FD_13</vt:lpwstr>
  </property>
  <property fmtid="{D5CDD505-2E9C-101B-9397-08002B2CF9AE}" pid="4" name="KSOProductBuildVer">
    <vt:lpwstr>2052-12.1.0.23542</vt:lpwstr>
  </property>
</Properties>
</file>